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75" firstSheet="2" activeTab="2"/>
  </bookViews>
  <sheets>
    <sheet name="EQU2008" sheetId="1" r:id="rId1"/>
    <sheet name="EQU2008 (2)" sheetId="2" r:id="rId2"/>
    <sheet name="สมการ(แก้ไข)" sheetId="3" r:id="rId3"/>
    <sheet name="ค่าlog" sheetId="4" r:id="rId4"/>
  </sheets>
  <definedNames>
    <definedName name="_xlnm.Print_Titles" localSheetId="0">'EQU2008'!$1:$3</definedName>
    <definedName name="_xlnm.Print_Titles" localSheetId="1">'EQU2008 (2)'!$1:$3</definedName>
    <definedName name="_xlnm.Print_Titles" localSheetId="2">'สมการ(แก้ไข)'!$1:$3</definedName>
  </definedNames>
  <calcPr fullCalcOnLoad="1"/>
</workbook>
</file>

<file path=xl/sharedStrings.xml><?xml version="1.0" encoding="utf-8"?>
<sst xmlns="http://schemas.openxmlformats.org/spreadsheetml/2006/main" count="477" uniqueCount="246">
  <si>
    <t>CODE</t>
  </si>
  <si>
    <t>EQUATION</t>
  </si>
  <si>
    <t>b</t>
  </si>
  <si>
    <t>Log(a)</t>
  </si>
  <si>
    <t>R-Square</t>
  </si>
  <si>
    <t>No. of Samples</t>
  </si>
  <si>
    <t>Water year</t>
  </si>
  <si>
    <t>ที่</t>
  </si>
  <si>
    <t>Good</t>
  </si>
  <si>
    <t>Total</t>
  </si>
  <si>
    <t>N/A</t>
  </si>
  <si>
    <t>P.1</t>
  </si>
  <si>
    <t>P.4A</t>
  </si>
  <si>
    <t>P.24A</t>
  </si>
  <si>
    <t>P.64</t>
  </si>
  <si>
    <t>P.65</t>
  </si>
  <si>
    <t>W.3A</t>
  </si>
  <si>
    <t>W.17</t>
  </si>
  <si>
    <t>Y.1C</t>
  </si>
  <si>
    <t>Y.34</t>
  </si>
  <si>
    <r>
      <t xml:space="preserve">สมการประเมินตะกอนแขวนลอย  </t>
    </r>
    <r>
      <rPr>
        <b/>
        <sz val="18"/>
        <color indexed="10"/>
        <rFont val="DilleniaUPC"/>
        <family val="1"/>
      </rPr>
      <t>Y=aX</t>
    </r>
    <r>
      <rPr>
        <b/>
        <vertAlign val="superscript"/>
        <sz val="18"/>
        <color indexed="10"/>
        <rFont val="DilleniaUPC"/>
        <family val="1"/>
      </rPr>
      <t>b</t>
    </r>
  </si>
  <si>
    <t>P.14</t>
  </si>
  <si>
    <t>P.56A</t>
  </si>
  <si>
    <t>P.77</t>
  </si>
  <si>
    <t>W.16A</t>
  </si>
  <si>
    <t>W.20</t>
  </si>
  <si>
    <t>Y.36</t>
  </si>
  <si>
    <t>G.8</t>
  </si>
  <si>
    <t>KH.72</t>
  </si>
  <si>
    <t>KH.89</t>
  </si>
  <si>
    <t>I.14</t>
  </si>
  <si>
    <t>DA.</t>
  </si>
  <si>
    <t>sq.km.</t>
  </si>
  <si>
    <r>
      <t xml:space="preserve">Accept  Equations are shown in </t>
    </r>
    <r>
      <rPr>
        <sz val="16"/>
        <color indexed="10"/>
        <rFont val="DilleniaUPC"/>
        <family val="1"/>
      </rPr>
      <t>red</t>
    </r>
  </si>
  <si>
    <t xml:space="preserve">Date of N/A sample </t>
  </si>
  <si>
    <t>P.21</t>
  </si>
  <si>
    <t>P.71</t>
  </si>
  <si>
    <t>P.73</t>
  </si>
  <si>
    <t>P.75</t>
  </si>
  <si>
    <t>P.76</t>
  </si>
  <si>
    <t>P.5</t>
  </si>
  <si>
    <t>P.67</t>
  </si>
  <si>
    <t>P.79</t>
  </si>
  <si>
    <t>P.80</t>
  </si>
  <si>
    <t>P.82</t>
  </si>
  <si>
    <t>P.84</t>
  </si>
  <si>
    <t>W.1C</t>
  </si>
  <si>
    <t>Y.20</t>
  </si>
  <si>
    <t>Y.37</t>
  </si>
  <si>
    <t>N.1</t>
  </si>
  <si>
    <t>N.64</t>
  </si>
  <si>
    <t>G.9</t>
  </si>
  <si>
    <r>
      <t xml:space="preserve">สมการประเมินตะกอนแขวนลอย  </t>
    </r>
    <r>
      <rPr>
        <b/>
        <sz val="18"/>
        <color indexed="10"/>
        <rFont val="Angsana New"/>
        <family val="1"/>
      </rPr>
      <t>Y=aX</t>
    </r>
    <r>
      <rPr>
        <b/>
        <vertAlign val="superscript"/>
        <sz val="18"/>
        <color indexed="10"/>
        <rFont val="Angsana New"/>
        <family val="1"/>
      </rPr>
      <t>b</t>
    </r>
  </si>
  <si>
    <t>W.25</t>
  </si>
  <si>
    <t>N.65</t>
  </si>
  <si>
    <t>Accept  Equations are shown in red</t>
  </si>
  <si>
    <t xml:space="preserve"> </t>
  </si>
  <si>
    <t>P.73A</t>
  </si>
  <si>
    <t>P92</t>
  </si>
  <si>
    <t>P92 A</t>
  </si>
  <si>
    <t>Y.24</t>
  </si>
  <si>
    <t>Y.65</t>
  </si>
  <si>
    <t>N.75</t>
  </si>
  <si>
    <t>Kh.72</t>
  </si>
  <si>
    <t>1993 - 2020</t>
  </si>
  <si>
    <r>
      <t>Y=1.414X</t>
    </r>
    <r>
      <rPr>
        <vertAlign val="superscript"/>
        <sz val="16"/>
        <color indexed="8"/>
        <rFont val="Angsana New"/>
        <family val="1"/>
      </rPr>
      <t>1.497</t>
    </r>
  </si>
  <si>
    <t>1992-2020</t>
  </si>
  <si>
    <r>
      <t>Y=1295X</t>
    </r>
    <r>
      <rPr>
        <vertAlign val="superscript"/>
        <sz val="16"/>
        <color indexed="10"/>
        <rFont val="Angsana New"/>
        <family val="1"/>
      </rPr>
      <t>1556</t>
    </r>
  </si>
  <si>
    <r>
      <t>Y=2.645X</t>
    </r>
    <r>
      <rPr>
        <vertAlign val="superscript"/>
        <sz val="16"/>
        <color indexed="10"/>
        <rFont val="Angsana New"/>
        <family val="1"/>
      </rPr>
      <t>1528</t>
    </r>
  </si>
  <si>
    <r>
      <t>Y=2.761X</t>
    </r>
    <r>
      <rPr>
        <vertAlign val="superscript"/>
        <sz val="16"/>
        <rFont val="Angsana New"/>
        <family val="1"/>
      </rPr>
      <t>1591</t>
    </r>
  </si>
  <si>
    <t>2007-2020</t>
  </si>
  <si>
    <r>
      <t>Y=1.178X</t>
    </r>
    <r>
      <rPr>
        <vertAlign val="superscript"/>
        <sz val="16"/>
        <color indexed="8"/>
        <rFont val="Angsana New"/>
        <family val="1"/>
      </rPr>
      <t>1.369</t>
    </r>
  </si>
  <si>
    <r>
      <t>Y=1.749X</t>
    </r>
    <r>
      <rPr>
        <vertAlign val="superscript"/>
        <sz val="16"/>
        <color indexed="10"/>
        <rFont val="Angsana New"/>
        <family val="1"/>
      </rPr>
      <t>1.259</t>
    </r>
  </si>
  <si>
    <t>2001 - 2020</t>
  </si>
  <si>
    <r>
      <t>Y=3.070X</t>
    </r>
    <r>
      <rPr>
        <vertAlign val="superscript"/>
        <sz val="16"/>
        <color indexed="10"/>
        <rFont val="Angsana New"/>
        <family val="1"/>
      </rPr>
      <t>1.650</t>
    </r>
  </si>
  <si>
    <r>
      <t>Y=4.168X</t>
    </r>
    <r>
      <rPr>
        <vertAlign val="superscript"/>
        <sz val="16"/>
        <color indexed="8"/>
        <rFont val="Angsana New"/>
        <family val="1"/>
      </rPr>
      <t>1.392</t>
    </r>
  </si>
  <si>
    <t>2000 - 2020</t>
  </si>
  <si>
    <r>
      <t>Y=4.027X</t>
    </r>
    <r>
      <rPr>
        <vertAlign val="superscript"/>
        <sz val="16"/>
        <color indexed="10"/>
        <rFont val="Angsana New"/>
        <family val="1"/>
      </rPr>
      <t>1.494</t>
    </r>
  </si>
  <si>
    <r>
      <t>Y=2.162X</t>
    </r>
    <r>
      <rPr>
        <vertAlign val="superscript"/>
        <sz val="16"/>
        <color indexed="10"/>
        <rFont val="Angsana New"/>
        <family val="1"/>
      </rPr>
      <t>1.486</t>
    </r>
  </si>
  <si>
    <r>
      <t>Y=85.987X</t>
    </r>
    <r>
      <rPr>
        <vertAlign val="superscript"/>
        <sz val="16"/>
        <color indexed="8"/>
        <rFont val="Angsana New"/>
        <family val="1"/>
      </rPr>
      <t>1.525</t>
    </r>
  </si>
  <si>
    <r>
      <t>Y=0.241X</t>
    </r>
    <r>
      <rPr>
        <vertAlign val="superscript"/>
        <sz val="16"/>
        <color indexed="10"/>
        <rFont val="Angsana New"/>
        <family val="1"/>
      </rPr>
      <t>1.665</t>
    </r>
  </si>
  <si>
    <r>
      <t>Y=1.244X</t>
    </r>
    <r>
      <rPr>
        <vertAlign val="superscript"/>
        <sz val="16"/>
        <color indexed="8"/>
        <rFont val="Angsana New"/>
        <family val="1"/>
      </rPr>
      <t>1.363</t>
    </r>
  </si>
  <si>
    <t>2016 - 2020</t>
  </si>
  <si>
    <r>
      <t>Y=0.173X</t>
    </r>
    <r>
      <rPr>
        <vertAlign val="superscript"/>
        <sz val="16"/>
        <color indexed="10"/>
        <rFont val="Angsana New"/>
        <family val="1"/>
      </rPr>
      <t>1.705</t>
    </r>
  </si>
  <si>
    <r>
      <t>Y=1.488X</t>
    </r>
    <r>
      <rPr>
        <vertAlign val="superscript"/>
        <sz val="16"/>
        <color indexed="8"/>
        <rFont val="Angsana New"/>
        <family val="1"/>
      </rPr>
      <t>1.289</t>
    </r>
  </si>
  <si>
    <r>
      <t>Y=1.440X</t>
    </r>
    <r>
      <rPr>
        <vertAlign val="superscript"/>
        <sz val="16"/>
        <color indexed="10"/>
        <rFont val="Angsana New"/>
        <family val="1"/>
      </rPr>
      <t>1.564</t>
    </r>
  </si>
  <si>
    <r>
      <t>Y=0.936X</t>
    </r>
    <r>
      <rPr>
        <vertAlign val="superscript"/>
        <sz val="16"/>
        <color indexed="8"/>
        <rFont val="Angsana New"/>
        <family val="1"/>
      </rPr>
      <t>1.602</t>
    </r>
  </si>
  <si>
    <r>
      <t>Y=0.633X</t>
    </r>
    <r>
      <rPr>
        <vertAlign val="superscript"/>
        <sz val="16"/>
        <color indexed="10"/>
        <rFont val="Angsana New"/>
        <family val="1"/>
      </rPr>
      <t>1.723</t>
    </r>
  </si>
  <si>
    <r>
      <t>Y=2.236X</t>
    </r>
    <r>
      <rPr>
        <vertAlign val="superscript"/>
        <sz val="16"/>
        <color indexed="8"/>
        <rFont val="Angsana New"/>
        <family val="1"/>
      </rPr>
      <t>0.858</t>
    </r>
  </si>
  <si>
    <t>2006 - 2020</t>
  </si>
  <si>
    <r>
      <t>Y=4.318X</t>
    </r>
    <r>
      <rPr>
        <vertAlign val="superscript"/>
        <sz val="16"/>
        <color indexed="10"/>
        <rFont val="Angsana New"/>
        <family val="1"/>
      </rPr>
      <t>1.648</t>
    </r>
  </si>
  <si>
    <r>
      <t>Y=2.215X</t>
    </r>
    <r>
      <rPr>
        <vertAlign val="superscript"/>
        <sz val="16"/>
        <color indexed="8"/>
        <rFont val="Angsana New"/>
        <family val="1"/>
      </rPr>
      <t>1.213</t>
    </r>
  </si>
  <si>
    <r>
      <t>Y=7.064X</t>
    </r>
    <r>
      <rPr>
        <vertAlign val="superscript"/>
        <sz val="16"/>
        <color indexed="10"/>
        <rFont val="Angsana New"/>
        <family val="1"/>
      </rPr>
      <t>1.234</t>
    </r>
  </si>
  <si>
    <r>
      <t>Y=1.995X</t>
    </r>
    <r>
      <rPr>
        <vertAlign val="superscript"/>
        <sz val="16"/>
        <color indexed="8"/>
        <rFont val="Angsana New"/>
        <family val="1"/>
      </rPr>
      <t>1.503</t>
    </r>
  </si>
  <si>
    <r>
      <t>Y=5.900X</t>
    </r>
    <r>
      <rPr>
        <vertAlign val="superscript"/>
        <sz val="16"/>
        <color indexed="10"/>
        <rFont val="Angsana New"/>
        <family val="1"/>
      </rPr>
      <t>1.646</t>
    </r>
  </si>
  <si>
    <r>
      <t>Y=2.136X</t>
    </r>
    <r>
      <rPr>
        <vertAlign val="superscript"/>
        <sz val="16"/>
        <color indexed="8"/>
        <rFont val="Angsana New"/>
        <family val="1"/>
      </rPr>
      <t>1.514</t>
    </r>
  </si>
  <si>
    <r>
      <t>Y=0.610X</t>
    </r>
    <r>
      <rPr>
        <vertAlign val="superscript"/>
        <sz val="16"/>
        <color indexed="10"/>
        <rFont val="Angsana New"/>
        <family val="1"/>
      </rPr>
      <t>2.399</t>
    </r>
  </si>
  <si>
    <r>
      <t>Y=1.493X</t>
    </r>
    <r>
      <rPr>
        <vertAlign val="superscript"/>
        <sz val="16"/>
        <color indexed="8"/>
        <rFont val="Angsana New"/>
        <family val="1"/>
      </rPr>
      <t>1.612</t>
    </r>
  </si>
  <si>
    <t>2005 - 2020</t>
  </si>
  <si>
    <t>2014 - 2020</t>
  </si>
  <si>
    <r>
      <t>Y=1.628X</t>
    </r>
    <r>
      <rPr>
        <vertAlign val="superscript"/>
        <sz val="16"/>
        <color indexed="10"/>
        <rFont val="Angsana New"/>
        <family val="1"/>
      </rPr>
      <t>2.030</t>
    </r>
  </si>
  <si>
    <r>
      <t>Y=3.040X</t>
    </r>
    <r>
      <rPr>
        <vertAlign val="superscript"/>
        <sz val="16"/>
        <color indexed="8"/>
        <rFont val="Angsana New"/>
        <family val="1"/>
      </rPr>
      <t>1.347</t>
    </r>
  </si>
  <si>
    <r>
      <t>Y=0.218X</t>
    </r>
    <r>
      <rPr>
        <vertAlign val="superscript"/>
        <sz val="16"/>
        <color indexed="10"/>
        <rFont val="Angsana New"/>
        <family val="1"/>
      </rPr>
      <t>2.348</t>
    </r>
  </si>
  <si>
    <r>
      <t>Y=0.461X</t>
    </r>
    <r>
      <rPr>
        <vertAlign val="superscript"/>
        <sz val="16"/>
        <color indexed="8"/>
        <rFont val="Angsana New"/>
        <family val="1"/>
      </rPr>
      <t>2.120</t>
    </r>
  </si>
  <si>
    <r>
      <t>Y=0.345X</t>
    </r>
    <r>
      <rPr>
        <vertAlign val="superscript"/>
        <sz val="16"/>
        <color indexed="10"/>
        <rFont val="Angsana New"/>
        <family val="1"/>
      </rPr>
      <t>2.215</t>
    </r>
  </si>
  <si>
    <r>
      <t>Y=0.557X</t>
    </r>
    <r>
      <rPr>
        <vertAlign val="superscript"/>
        <sz val="16"/>
        <color indexed="8"/>
        <rFont val="Angsana New"/>
        <family val="1"/>
      </rPr>
      <t>1.988</t>
    </r>
  </si>
  <si>
    <t>1994-2020</t>
  </si>
  <si>
    <r>
      <t>Y=0.514X</t>
    </r>
    <r>
      <rPr>
        <vertAlign val="superscript"/>
        <sz val="16"/>
        <color indexed="10"/>
        <rFont val="Angsana New"/>
        <family val="1"/>
      </rPr>
      <t>0.714</t>
    </r>
  </si>
  <si>
    <r>
      <t>Y=0.819X</t>
    </r>
    <r>
      <rPr>
        <vertAlign val="superscript"/>
        <sz val="16"/>
        <rFont val="Angsana New"/>
        <family val="1"/>
      </rPr>
      <t>1.615</t>
    </r>
  </si>
  <si>
    <r>
      <t>Y=0.635X</t>
    </r>
    <r>
      <rPr>
        <vertAlign val="superscript"/>
        <sz val="16"/>
        <color indexed="10"/>
        <rFont val="Angsana New"/>
        <family val="1"/>
      </rPr>
      <t>1.497</t>
    </r>
  </si>
  <si>
    <r>
      <t>Y=0.440X</t>
    </r>
    <r>
      <rPr>
        <vertAlign val="superscript"/>
        <sz val="16"/>
        <rFont val="Angsana New"/>
        <family val="1"/>
      </rPr>
      <t>1.641</t>
    </r>
  </si>
  <si>
    <r>
      <t>Y=1.435X</t>
    </r>
    <r>
      <rPr>
        <vertAlign val="superscript"/>
        <sz val="16"/>
        <color indexed="10"/>
        <rFont val="Angsana New"/>
        <family val="1"/>
      </rPr>
      <t>1.247</t>
    </r>
  </si>
  <si>
    <r>
      <t>Y=1.425X</t>
    </r>
    <r>
      <rPr>
        <vertAlign val="superscript"/>
        <sz val="16"/>
        <color indexed="8"/>
        <rFont val="Angsana New"/>
        <family val="1"/>
      </rPr>
      <t>1.287</t>
    </r>
  </si>
  <si>
    <t>1996 - 2020</t>
  </si>
  <si>
    <r>
      <t>Y=1.253X</t>
    </r>
    <r>
      <rPr>
        <vertAlign val="superscript"/>
        <sz val="16"/>
        <color indexed="10"/>
        <rFont val="Angsana New"/>
        <family val="1"/>
      </rPr>
      <t>1.696</t>
    </r>
  </si>
  <si>
    <r>
      <t>Y=2.231X</t>
    </r>
    <r>
      <rPr>
        <vertAlign val="superscript"/>
        <sz val="16"/>
        <rFont val="Angsana New"/>
        <family val="1"/>
      </rPr>
      <t>1.571</t>
    </r>
  </si>
  <si>
    <t>2009 - 2020</t>
  </si>
  <si>
    <t>Y=6.197X1.584</t>
  </si>
  <si>
    <t>Y=3.895X1.440</t>
  </si>
  <si>
    <t>1997 - 2020</t>
  </si>
  <si>
    <r>
      <t>Y=1.751X</t>
    </r>
    <r>
      <rPr>
        <vertAlign val="superscript"/>
        <sz val="16"/>
        <color indexed="10"/>
        <rFont val="Angsana New"/>
        <family val="1"/>
      </rPr>
      <t>1.541</t>
    </r>
  </si>
  <si>
    <r>
      <t>Y=1.597X</t>
    </r>
    <r>
      <rPr>
        <vertAlign val="superscript"/>
        <sz val="16"/>
        <color indexed="8"/>
        <rFont val="Angsana New"/>
        <family val="1"/>
      </rPr>
      <t>1.506</t>
    </r>
  </si>
  <si>
    <t>1975 - 2020</t>
  </si>
  <si>
    <r>
      <t>Y=1.634X</t>
    </r>
    <r>
      <rPr>
        <vertAlign val="superscript"/>
        <sz val="16"/>
        <color indexed="10"/>
        <rFont val="Angsana New"/>
        <family val="1"/>
      </rPr>
      <t>1.618</t>
    </r>
  </si>
  <si>
    <r>
      <t>Y=0.814X</t>
    </r>
    <r>
      <rPr>
        <vertAlign val="superscript"/>
        <sz val="16"/>
        <color indexed="8"/>
        <rFont val="Angsana New"/>
        <family val="1"/>
      </rPr>
      <t>1.704</t>
    </r>
  </si>
  <si>
    <t>1997-2020</t>
  </si>
  <si>
    <r>
      <t>Y=3.681X</t>
    </r>
    <r>
      <rPr>
        <vertAlign val="superscript"/>
        <sz val="16"/>
        <color indexed="10"/>
        <rFont val="Angsana New"/>
        <family val="1"/>
      </rPr>
      <t>1.643</t>
    </r>
  </si>
  <si>
    <r>
      <t>Y=3.476X</t>
    </r>
    <r>
      <rPr>
        <vertAlign val="superscript"/>
        <sz val="16"/>
        <color indexed="8"/>
        <rFont val="Angsana New"/>
        <family val="1"/>
      </rPr>
      <t>1.626</t>
    </r>
  </si>
  <si>
    <r>
      <t>Y=0.805X</t>
    </r>
    <r>
      <rPr>
        <vertAlign val="superscript"/>
        <sz val="16"/>
        <color indexed="10"/>
        <rFont val="Angsana New"/>
        <family val="1"/>
      </rPr>
      <t>1.581</t>
    </r>
  </si>
  <si>
    <r>
      <t>Y=0.753X</t>
    </r>
    <r>
      <rPr>
        <vertAlign val="superscript"/>
        <sz val="16"/>
        <color indexed="8"/>
        <rFont val="Angsana New"/>
        <family val="1"/>
      </rPr>
      <t>1.574</t>
    </r>
  </si>
  <si>
    <t>2018-2020</t>
  </si>
  <si>
    <r>
      <t>Y=2.007X</t>
    </r>
    <r>
      <rPr>
        <vertAlign val="superscript"/>
        <sz val="16"/>
        <color indexed="10"/>
        <rFont val="Angsana New"/>
        <family val="1"/>
      </rPr>
      <t>1.609</t>
    </r>
  </si>
  <si>
    <r>
      <t>Y=2.024X</t>
    </r>
    <r>
      <rPr>
        <vertAlign val="superscript"/>
        <sz val="16"/>
        <color indexed="8"/>
        <rFont val="Angsana New"/>
        <family val="1"/>
      </rPr>
      <t>1.580</t>
    </r>
  </si>
  <si>
    <r>
      <t>Y=0.672X</t>
    </r>
    <r>
      <rPr>
        <vertAlign val="superscript"/>
        <sz val="16"/>
        <color indexed="10"/>
        <rFont val="Angsana New"/>
        <family val="1"/>
      </rPr>
      <t>1.710</t>
    </r>
  </si>
  <si>
    <r>
      <t>Y=0.212X</t>
    </r>
    <r>
      <rPr>
        <vertAlign val="superscript"/>
        <sz val="16"/>
        <rFont val="Angsana New"/>
        <family val="1"/>
      </rPr>
      <t>1.859</t>
    </r>
  </si>
  <si>
    <t>1978 - 2020</t>
  </si>
  <si>
    <r>
      <t>Y=1.415X</t>
    </r>
    <r>
      <rPr>
        <vertAlign val="superscript"/>
        <sz val="16"/>
        <color indexed="10"/>
        <rFont val="Angsana New"/>
        <family val="1"/>
      </rPr>
      <t>1.595</t>
    </r>
  </si>
  <si>
    <r>
      <t>Y=0.315X</t>
    </r>
    <r>
      <rPr>
        <vertAlign val="superscript"/>
        <sz val="16"/>
        <rFont val="Angsana New"/>
        <family val="1"/>
      </rPr>
      <t>1.834</t>
    </r>
  </si>
  <si>
    <r>
      <t>Y=1.995X</t>
    </r>
    <r>
      <rPr>
        <vertAlign val="superscript"/>
        <sz val="16"/>
        <color indexed="10"/>
        <rFont val="Angsana New"/>
        <family val="1"/>
      </rPr>
      <t>1.629</t>
    </r>
  </si>
  <si>
    <r>
      <t>Y=0.685X</t>
    </r>
    <r>
      <rPr>
        <vertAlign val="superscript"/>
        <sz val="16"/>
        <color indexed="8"/>
        <rFont val="Angsana New"/>
        <family val="1"/>
      </rPr>
      <t>1.676</t>
    </r>
  </si>
  <si>
    <r>
      <t>Y=0.335X</t>
    </r>
    <r>
      <rPr>
        <vertAlign val="superscript"/>
        <sz val="16"/>
        <color indexed="10"/>
        <rFont val="Angsana New"/>
        <family val="1"/>
      </rPr>
      <t>1.900</t>
    </r>
  </si>
  <si>
    <r>
      <t>Y=0.452X</t>
    </r>
    <r>
      <rPr>
        <vertAlign val="superscript"/>
        <sz val="16"/>
        <color indexed="8"/>
        <rFont val="Angsana New"/>
        <family val="1"/>
      </rPr>
      <t>1.774</t>
    </r>
  </si>
  <si>
    <r>
      <t>Y=2.228X</t>
    </r>
    <r>
      <rPr>
        <vertAlign val="superscript"/>
        <sz val="16"/>
        <color indexed="10"/>
        <rFont val="Angsana New"/>
        <family val="1"/>
      </rPr>
      <t>1.568</t>
    </r>
  </si>
  <si>
    <r>
      <t>Y=0.452X</t>
    </r>
    <r>
      <rPr>
        <vertAlign val="superscript"/>
        <sz val="16"/>
        <rFont val="Angsana New"/>
        <family val="1"/>
      </rPr>
      <t>1.774</t>
    </r>
  </si>
  <si>
    <r>
      <t>Y=0.446X</t>
    </r>
    <r>
      <rPr>
        <vertAlign val="superscript"/>
        <sz val="16"/>
        <color indexed="10"/>
        <rFont val="Angsana New"/>
        <family val="1"/>
      </rPr>
      <t>2.419</t>
    </r>
  </si>
  <si>
    <r>
      <t>Y=0.869X</t>
    </r>
    <r>
      <rPr>
        <vertAlign val="superscript"/>
        <sz val="16"/>
        <rFont val="Angsana New"/>
        <family val="1"/>
      </rPr>
      <t>2.074</t>
    </r>
  </si>
  <si>
    <t>1994 - 2020</t>
  </si>
  <si>
    <r>
      <t>Y=0.884X</t>
    </r>
    <r>
      <rPr>
        <vertAlign val="superscript"/>
        <sz val="16"/>
        <color indexed="10"/>
        <rFont val="Angsana New"/>
        <family val="1"/>
      </rPr>
      <t>1.504</t>
    </r>
  </si>
  <si>
    <r>
      <t>Y=2.342X</t>
    </r>
    <r>
      <rPr>
        <vertAlign val="superscript"/>
        <sz val="16"/>
        <color indexed="8"/>
        <rFont val="Angsana New"/>
        <family val="1"/>
      </rPr>
      <t>1.256</t>
    </r>
  </si>
  <si>
    <t>2018 - 2020</t>
  </si>
  <si>
    <r>
      <t>Y=2.731X</t>
    </r>
    <r>
      <rPr>
        <vertAlign val="superscript"/>
        <sz val="16"/>
        <color indexed="10"/>
        <rFont val="Angsana New"/>
        <family val="1"/>
      </rPr>
      <t>1.979</t>
    </r>
  </si>
  <si>
    <r>
      <t>Y=1.924X</t>
    </r>
    <r>
      <rPr>
        <vertAlign val="superscript"/>
        <sz val="16"/>
        <color indexed="8"/>
        <rFont val="Angsana New"/>
        <family val="1"/>
      </rPr>
      <t>1.869</t>
    </r>
  </si>
  <si>
    <t>TOTAL</t>
  </si>
  <si>
    <t>P.92</t>
  </si>
  <si>
    <t>P.92A</t>
  </si>
  <si>
    <t>เช็คแล้ว</t>
  </si>
  <si>
    <t>เลือกสมการนี้</t>
  </si>
  <si>
    <t>เปลี่ยนแล้วล่าสุด</t>
  </si>
  <si>
    <r>
      <t xml:space="preserve">สมการประเมินตะกอนแขวนลอย  </t>
    </r>
    <r>
      <rPr>
        <b/>
        <sz val="22"/>
        <color indexed="10"/>
        <rFont val="Angsana New"/>
        <family val="1"/>
      </rPr>
      <t>Y=aX</t>
    </r>
    <r>
      <rPr>
        <b/>
        <vertAlign val="superscript"/>
        <sz val="22"/>
        <color indexed="10"/>
        <rFont val="Angsana New"/>
        <family val="1"/>
      </rPr>
      <t>b</t>
    </r>
  </si>
  <si>
    <t>2007-2023</t>
  </si>
  <si>
    <r>
      <t>Y=0.2531</t>
    </r>
    <r>
      <rPr>
        <sz val="22"/>
        <color indexed="10"/>
        <rFont val="Angsana New"/>
        <family val="1"/>
      </rPr>
      <t>X</t>
    </r>
    <r>
      <rPr>
        <vertAlign val="superscript"/>
        <sz val="22"/>
        <color indexed="10"/>
        <rFont val="Angsana New"/>
        <family val="1"/>
      </rPr>
      <t>1.7245</t>
    </r>
  </si>
  <si>
    <r>
      <t>Y=0.3794</t>
    </r>
    <r>
      <rPr>
        <sz val="22"/>
        <rFont val="Angsana New"/>
        <family val="1"/>
      </rPr>
      <t>X</t>
    </r>
    <r>
      <rPr>
        <vertAlign val="superscript"/>
        <sz val="22"/>
        <rFont val="Angsana New"/>
        <family val="1"/>
      </rPr>
      <t>1.6667</t>
    </r>
  </si>
  <si>
    <t>1994-2023</t>
  </si>
  <si>
    <r>
      <t>y = 1.1134x</t>
    </r>
    <r>
      <rPr>
        <vertAlign val="superscript"/>
        <sz val="22"/>
        <color indexed="10"/>
        <rFont val="Angsana New"/>
        <family val="1"/>
      </rPr>
      <t>0.5180</t>
    </r>
  </si>
  <si>
    <t>2000 - 2023</t>
  </si>
  <si>
    <r>
      <t>Y=1.4539</t>
    </r>
    <r>
      <rPr>
        <sz val="22"/>
        <color indexed="10"/>
        <rFont val="Angsana New"/>
        <family val="1"/>
      </rPr>
      <t>X</t>
    </r>
    <r>
      <rPr>
        <vertAlign val="superscript"/>
        <sz val="22"/>
        <color indexed="10"/>
        <rFont val="Angsana New"/>
        <family val="1"/>
      </rPr>
      <t>1.6305</t>
    </r>
  </si>
  <si>
    <t>1996 - 2023</t>
  </si>
  <si>
    <r>
      <t>Y=2.0880</t>
    </r>
    <r>
      <rPr>
        <sz val="22"/>
        <rFont val="Angsana New"/>
        <family val="1"/>
      </rPr>
      <t>X</t>
    </r>
    <r>
      <rPr>
        <vertAlign val="superscript"/>
        <sz val="22"/>
        <rFont val="Angsana New"/>
        <family val="1"/>
      </rPr>
      <t>1.5827</t>
    </r>
  </si>
  <si>
    <r>
      <t>y = 0.5061x</t>
    </r>
    <r>
      <rPr>
        <vertAlign val="superscript"/>
        <sz val="22"/>
        <color indexed="10"/>
        <rFont val="Angsana New"/>
        <family val="1"/>
      </rPr>
      <t>1.6442</t>
    </r>
  </si>
  <si>
    <t>1997 - 2023</t>
  </si>
  <si>
    <r>
      <t>y = 0.6656x</t>
    </r>
    <r>
      <rPr>
        <vertAlign val="superscript"/>
        <sz val="22"/>
        <rFont val="Angsana New"/>
        <family val="1"/>
      </rPr>
      <t>1.5953</t>
    </r>
  </si>
  <si>
    <t>1975 - 2023</t>
  </si>
  <si>
    <r>
      <t>y = 0.4627x</t>
    </r>
    <r>
      <rPr>
        <vertAlign val="superscript"/>
        <sz val="22"/>
        <color indexed="10"/>
        <rFont val="Angsana New"/>
        <family val="1"/>
      </rPr>
      <t>1.9241</t>
    </r>
  </si>
  <si>
    <r>
      <t>y = 0.7834x</t>
    </r>
    <r>
      <rPr>
        <vertAlign val="superscript"/>
        <sz val="22"/>
        <rFont val="Angsana New"/>
        <family val="1"/>
      </rPr>
      <t>1.7253</t>
    </r>
  </si>
  <si>
    <r>
      <t>y = 1.4507x</t>
    </r>
    <r>
      <rPr>
        <vertAlign val="superscript"/>
        <sz val="22"/>
        <rFont val="Angsana New"/>
        <family val="1"/>
      </rPr>
      <t>1.5301</t>
    </r>
  </si>
  <si>
    <t>1997-2023</t>
  </si>
  <si>
    <r>
      <t>y = 2.7513x</t>
    </r>
    <r>
      <rPr>
        <vertAlign val="superscript"/>
        <sz val="22"/>
        <color indexed="10"/>
        <rFont val="Angsana New"/>
        <family val="1"/>
      </rPr>
      <t>1.6892</t>
    </r>
  </si>
  <si>
    <r>
      <t>y = 2.9917x</t>
    </r>
    <r>
      <rPr>
        <vertAlign val="superscript"/>
        <sz val="22"/>
        <rFont val="Angsana New"/>
        <family val="1"/>
      </rPr>
      <t>1.6897</t>
    </r>
  </si>
  <si>
    <r>
      <t>Y=5.3623</t>
    </r>
    <r>
      <rPr>
        <sz val="22"/>
        <color indexed="10"/>
        <rFont val="Angsana New"/>
        <family val="1"/>
      </rPr>
      <t>X</t>
    </r>
    <r>
      <rPr>
        <vertAlign val="superscript"/>
        <sz val="22"/>
        <color indexed="10"/>
        <rFont val="Angsana New"/>
        <family val="1"/>
      </rPr>
      <t>1.4666</t>
    </r>
  </si>
  <si>
    <r>
      <t>Y=3.9749</t>
    </r>
    <r>
      <rPr>
        <sz val="22"/>
        <color indexed="8"/>
        <rFont val="Angsana New"/>
        <family val="1"/>
      </rPr>
      <t>X</t>
    </r>
    <r>
      <rPr>
        <vertAlign val="superscript"/>
        <sz val="22"/>
        <color indexed="8"/>
        <rFont val="Angsana New"/>
        <family val="1"/>
      </rPr>
      <t>1.4554</t>
    </r>
  </si>
  <si>
    <t>2009 - 2023</t>
  </si>
  <si>
    <t>2018-2023</t>
  </si>
  <si>
    <r>
      <t>Y=1.9119</t>
    </r>
    <r>
      <rPr>
        <sz val="22"/>
        <color indexed="10"/>
        <rFont val="Angsana New"/>
        <family val="1"/>
      </rPr>
      <t>X</t>
    </r>
    <r>
      <rPr>
        <vertAlign val="superscript"/>
        <sz val="22"/>
        <color indexed="10"/>
        <rFont val="Angsana New"/>
        <family val="1"/>
      </rPr>
      <t>1.3484</t>
    </r>
  </si>
  <si>
    <r>
      <t>Y=2.5014</t>
    </r>
    <r>
      <rPr>
        <sz val="22"/>
        <color indexed="8"/>
        <rFont val="Angsana New"/>
        <family val="1"/>
      </rPr>
      <t>X</t>
    </r>
    <r>
      <rPr>
        <vertAlign val="superscript"/>
        <sz val="22"/>
        <color indexed="8"/>
        <rFont val="Angsana New"/>
        <family val="1"/>
      </rPr>
      <t>1.6187</t>
    </r>
  </si>
  <si>
    <r>
      <t>Y=3.8403</t>
    </r>
    <r>
      <rPr>
        <sz val="22"/>
        <color indexed="10"/>
        <rFont val="Angsana New"/>
        <family val="1"/>
      </rPr>
      <t>X</t>
    </r>
    <r>
      <rPr>
        <vertAlign val="superscript"/>
        <sz val="22"/>
        <color indexed="10"/>
        <rFont val="Angsana New"/>
        <family val="1"/>
      </rPr>
      <t>1.4950</t>
    </r>
  </si>
  <si>
    <r>
      <t>Y=2.3214</t>
    </r>
    <r>
      <rPr>
        <sz val="22"/>
        <rFont val="Angsana New"/>
        <family val="1"/>
      </rPr>
      <t>X</t>
    </r>
    <r>
      <rPr>
        <vertAlign val="superscript"/>
        <sz val="22"/>
        <rFont val="Angsana New"/>
        <family val="1"/>
      </rPr>
      <t>1.5758</t>
    </r>
  </si>
  <si>
    <t>1978 - 2023</t>
  </si>
  <si>
    <r>
      <t>Y=0.2369</t>
    </r>
    <r>
      <rPr>
        <sz val="22"/>
        <color indexed="10"/>
        <rFont val="Angsana New"/>
        <family val="1"/>
      </rPr>
      <t>X</t>
    </r>
    <r>
      <rPr>
        <vertAlign val="superscript"/>
        <sz val="22"/>
        <color indexed="10"/>
        <rFont val="Angsana New"/>
        <family val="1"/>
      </rPr>
      <t>1.7997</t>
    </r>
  </si>
  <si>
    <r>
      <t>Y=0.2045</t>
    </r>
    <r>
      <rPr>
        <sz val="22"/>
        <rFont val="Angsana New"/>
        <family val="1"/>
      </rPr>
      <t>X</t>
    </r>
    <r>
      <rPr>
        <vertAlign val="superscript"/>
        <sz val="22"/>
        <rFont val="Angsana New"/>
        <family val="1"/>
      </rPr>
      <t>1.8697</t>
    </r>
  </si>
  <si>
    <r>
      <t>Y=0.3063</t>
    </r>
    <r>
      <rPr>
        <sz val="22"/>
        <color indexed="10"/>
        <rFont val="Angsana New"/>
        <family val="1"/>
      </rPr>
      <t>X</t>
    </r>
    <r>
      <rPr>
        <vertAlign val="superscript"/>
        <sz val="22"/>
        <color indexed="10"/>
        <rFont val="Angsana New"/>
        <family val="1"/>
      </rPr>
      <t>1.9039</t>
    </r>
  </si>
  <si>
    <r>
      <t>Y=0.2957</t>
    </r>
    <r>
      <rPr>
        <sz val="22"/>
        <rFont val="Angsana New"/>
        <family val="1"/>
      </rPr>
      <t>X</t>
    </r>
    <r>
      <rPr>
        <vertAlign val="superscript"/>
        <sz val="22"/>
        <rFont val="Angsana New"/>
        <family val="1"/>
      </rPr>
      <t>1.8555</t>
    </r>
  </si>
  <si>
    <r>
      <t>Y=0.6645</t>
    </r>
    <r>
      <rPr>
        <sz val="22"/>
        <color indexed="10"/>
        <rFont val="Angsana New"/>
        <family val="1"/>
      </rPr>
      <t>X</t>
    </r>
    <r>
      <rPr>
        <vertAlign val="superscript"/>
        <sz val="22"/>
        <color indexed="10"/>
        <rFont val="Angsana New"/>
        <family val="1"/>
      </rPr>
      <t>1.8175</t>
    </r>
  </si>
  <si>
    <r>
      <t>Y=0.6595</t>
    </r>
    <r>
      <rPr>
        <sz val="22"/>
        <color indexed="8"/>
        <rFont val="Angsana New"/>
        <family val="1"/>
      </rPr>
      <t>X</t>
    </r>
    <r>
      <rPr>
        <vertAlign val="superscript"/>
        <sz val="22"/>
        <color indexed="8"/>
        <rFont val="Angsana New"/>
        <family val="1"/>
      </rPr>
      <t>1.7242</t>
    </r>
  </si>
  <si>
    <r>
      <t>y = 0.4455x</t>
    </r>
    <r>
      <rPr>
        <vertAlign val="superscript"/>
        <sz val="22"/>
        <color indexed="10"/>
        <rFont val="Angsana New"/>
        <family val="1"/>
      </rPr>
      <t>1.7401</t>
    </r>
  </si>
  <si>
    <r>
      <t>y = 0.3262x</t>
    </r>
    <r>
      <rPr>
        <vertAlign val="superscript"/>
        <sz val="22"/>
        <rFont val="Angsana New"/>
        <family val="1"/>
      </rPr>
      <t>1.8291</t>
    </r>
  </si>
  <si>
    <t>1994 - 2023</t>
  </si>
  <si>
    <r>
      <t>Y=0.4483</t>
    </r>
    <r>
      <rPr>
        <sz val="22"/>
        <color indexed="10"/>
        <rFont val="Angsana New"/>
        <family val="1"/>
      </rPr>
      <t>X</t>
    </r>
    <r>
      <rPr>
        <vertAlign val="superscript"/>
        <sz val="22"/>
        <color indexed="10"/>
        <rFont val="Angsana New"/>
        <family val="1"/>
      </rPr>
      <t>2.5180</t>
    </r>
  </si>
  <si>
    <t>2006 - 2023</t>
  </si>
  <si>
    <r>
      <t>Y=0.7385</t>
    </r>
    <r>
      <rPr>
        <sz val="22"/>
        <rFont val="Angsana New"/>
        <family val="1"/>
      </rPr>
      <t>X</t>
    </r>
    <r>
      <rPr>
        <vertAlign val="superscript"/>
        <sz val="22"/>
        <rFont val="Angsana New"/>
        <family val="1"/>
      </rPr>
      <t>2.2138</t>
    </r>
  </si>
  <si>
    <r>
      <t>Y=3.0032</t>
    </r>
    <r>
      <rPr>
        <sz val="22"/>
        <color indexed="10"/>
        <rFont val="Angsana New"/>
        <family val="1"/>
      </rPr>
      <t>X</t>
    </r>
    <r>
      <rPr>
        <vertAlign val="superscript"/>
        <sz val="22"/>
        <color indexed="10"/>
        <rFont val="Angsana New"/>
        <family val="1"/>
      </rPr>
      <t>1.1772</t>
    </r>
  </si>
  <si>
    <r>
      <t>Y=2.0710</t>
    </r>
    <r>
      <rPr>
        <sz val="22"/>
        <color indexed="8"/>
        <rFont val="Angsana New"/>
        <family val="1"/>
      </rPr>
      <t>X</t>
    </r>
    <r>
      <rPr>
        <vertAlign val="superscript"/>
        <sz val="22"/>
        <color indexed="8"/>
        <rFont val="Angsana New"/>
        <family val="1"/>
      </rPr>
      <t>1.2751</t>
    </r>
  </si>
  <si>
    <t>2018 - 2023</t>
  </si>
  <si>
    <r>
      <t>Y=2.6694</t>
    </r>
    <r>
      <rPr>
        <sz val="22"/>
        <color indexed="10"/>
        <rFont val="Angsana New"/>
        <family val="1"/>
      </rPr>
      <t>X</t>
    </r>
    <r>
      <rPr>
        <vertAlign val="superscript"/>
        <sz val="22"/>
        <color indexed="10"/>
        <rFont val="Angsana New"/>
        <family val="1"/>
      </rPr>
      <t>1.9080</t>
    </r>
  </si>
  <si>
    <r>
      <t>Y=2.0274</t>
    </r>
    <r>
      <rPr>
        <sz val="22"/>
        <color indexed="8"/>
        <rFont val="Angsana New"/>
        <family val="1"/>
      </rPr>
      <t>X</t>
    </r>
    <r>
      <rPr>
        <vertAlign val="superscript"/>
        <sz val="22"/>
        <color indexed="8"/>
        <rFont val="Angsana New"/>
        <family val="1"/>
      </rPr>
      <t>1.8693</t>
    </r>
  </si>
  <si>
    <r>
      <t>Y= 1.5885</t>
    </r>
    <r>
      <rPr>
        <sz val="22"/>
        <color indexed="10"/>
        <rFont val="Angsana New"/>
        <family val="1"/>
      </rPr>
      <t>X</t>
    </r>
    <r>
      <rPr>
        <vertAlign val="superscript"/>
        <sz val="22"/>
        <color indexed="10"/>
        <rFont val="Angsana New"/>
        <family val="1"/>
      </rPr>
      <t>1.1835</t>
    </r>
  </si>
  <si>
    <r>
      <t>Y=1.1546</t>
    </r>
    <r>
      <rPr>
        <sz val="22"/>
        <color indexed="8"/>
        <rFont val="Angsana New"/>
        <family val="1"/>
      </rPr>
      <t>X</t>
    </r>
    <r>
      <rPr>
        <vertAlign val="superscript"/>
        <sz val="22"/>
        <color indexed="8"/>
        <rFont val="Angsana New"/>
        <family val="1"/>
      </rPr>
      <t>1.3768</t>
    </r>
  </si>
  <si>
    <t>2016 - 2023</t>
  </si>
  <si>
    <r>
      <t>Y=0.6501</t>
    </r>
    <r>
      <rPr>
        <sz val="22"/>
        <color indexed="10"/>
        <rFont val="Angsana New"/>
        <family val="1"/>
      </rPr>
      <t>X</t>
    </r>
    <r>
      <rPr>
        <vertAlign val="superscript"/>
        <sz val="22"/>
        <color indexed="10"/>
        <rFont val="Angsana New"/>
        <family val="1"/>
      </rPr>
      <t>1.4705</t>
    </r>
  </si>
  <si>
    <r>
      <t>Y=1.0760</t>
    </r>
    <r>
      <rPr>
        <sz val="22"/>
        <color indexed="8"/>
        <rFont val="Angsana New"/>
        <family val="1"/>
      </rPr>
      <t>X</t>
    </r>
    <r>
      <rPr>
        <vertAlign val="superscript"/>
        <sz val="22"/>
        <color indexed="8"/>
        <rFont val="Angsana New"/>
        <family val="1"/>
      </rPr>
      <t>1.3485</t>
    </r>
  </si>
  <si>
    <t>2001 - 2023</t>
  </si>
  <si>
    <r>
      <t>Y=1.3881</t>
    </r>
    <r>
      <rPr>
        <sz val="22"/>
        <color indexed="10"/>
        <rFont val="Angsana New"/>
        <family val="1"/>
      </rPr>
      <t>X</t>
    </r>
    <r>
      <rPr>
        <vertAlign val="superscript"/>
        <sz val="22"/>
        <color indexed="10"/>
        <rFont val="Angsana New"/>
        <family val="1"/>
      </rPr>
      <t>1.7843</t>
    </r>
  </si>
  <si>
    <r>
      <t>y = 2.1618x</t>
    </r>
    <r>
      <rPr>
        <vertAlign val="superscript"/>
        <sz val="22"/>
        <rFont val="Angsana New"/>
        <family val="1"/>
      </rPr>
      <t>1.4334</t>
    </r>
  </si>
  <si>
    <r>
      <t>Y=4.7648</t>
    </r>
    <r>
      <rPr>
        <sz val="22"/>
        <color indexed="10"/>
        <rFont val="Angsana New"/>
        <family val="1"/>
      </rPr>
      <t>X</t>
    </r>
    <r>
      <rPr>
        <vertAlign val="superscript"/>
        <sz val="22"/>
        <color indexed="10"/>
        <rFont val="Angsana New"/>
        <family val="1"/>
      </rPr>
      <t>1.4898</t>
    </r>
  </si>
  <si>
    <r>
      <t>Y=3.1358</t>
    </r>
    <r>
      <rPr>
        <sz val="22"/>
        <color indexed="8"/>
        <rFont val="Angsana New"/>
        <family val="1"/>
      </rPr>
      <t>X</t>
    </r>
    <r>
      <rPr>
        <vertAlign val="superscript"/>
        <sz val="22"/>
        <color indexed="8"/>
        <rFont val="Angsana New"/>
        <family val="1"/>
      </rPr>
      <t>1.3421</t>
    </r>
  </si>
  <si>
    <r>
      <t>y = 0.5362x</t>
    </r>
    <r>
      <rPr>
        <vertAlign val="superscript"/>
        <sz val="22"/>
        <color indexed="10"/>
        <rFont val="Angsana New"/>
        <family val="1"/>
      </rPr>
      <t>2.5288</t>
    </r>
  </si>
  <si>
    <r>
      <t>y = 1.6647x</t>
    </r>
    <r>
      <rPr>
        <vertAlign val="superscript"/>
        <sz val="22"/>
        <rFont val="Angsana New"/>
        <family val="1"/>
      </rPr>
      <t>1.6777</t>
    </r>
  </si>
  <si>
    <r>
      <t>y = 3.7939x</t>
    </r>
    <r>
      <rPr>
        <vertAlign val="superscript"/>
        <sz val="22"/>
        <color indexed="10"/>
        <rFont val="Angsana New"/>
        <family val="1"/>
      </rPr>
      <t>1.4567</t>
    </r>
  </si>
  <si>
    <r>
      <t>y = 4.1872x</t>
    </r>
    <r>
      <rPr>
        <vertAlign val="superscript"/>
        <sz val="22"/>
        <rFont val="Angsana New"/>
        <family val="1"/>
      </rPr>
      <t>1.4112</t>
    </r>
  </si>
  <si>
    <t>2005 - 2023</t>
  </si>
  <si>
    <t>1993 - 2023</t>
  </si>
  <si>
    <r>
      <t>y = 0.3084x</t>
    </r>
    <r>
      <rPr>
        <vertAlign val="superscript"/>
        <sz val="22"/>
        <color indexed="10"/>
        <rFont val="Angsana New"/>
        <family val="1"/>
      </rPr>
      <t>1.7915</t>
    </r>
  </si>
  <si>
    <r>
      <t>y = 1.2074x</t>
    </r>
    <r>
      <rPr>
        <vertAlign val="superscript"/>
        <sz val="22"/>
        <rFont val="Angsana New"/>
        <family val="1"/>
      </rPr>
      <t>1.5312</t>
    </r>
  </si>
  <si>
    <r>
      <t>Y=5.1948</t>
    </r>
    <r>
      <rPr>
        <sz val="22"/>
        <color indexed="10"/>
        <rFont val="Angsana New"/>
        <family val="1"/>
      </rPr>
      <t>X</t>
    </r>
    <r>
      <rPr>
        <vertAlign val="superscript"/>
        <sz val="22"/>
        <color indexed="10"/>
        <rFont val="Angsana New"/>
        <family val="1"/>
      </rPr>
      <t>1.4810</t>
    </r>
  </si>
  <si>
    <r>
      <t>Y=2.8407</t>
    </r>
    <r>
      <rPr>
        <sz val="22"/>
        <rFont val="Angsana New"/>
        <family val="1"/>
      </rPr>
      <t>X</t>
    </r>
    <r>
      <rPr>
        <vertAlign val="superscript"/>
        <sz val="22"/>
        <rFont val="Angsana New"/>
        <family val="1"/>
      </rPr>
      <t>1.5776</t>
    </r>
  </si>
  <si>
    <t>1992-2023</t>
  </si>
  <si>
    <r>
      <t>Y=2.2839</t>
    </r>
    <r>
      <rPr>
        <sz val="22"/>
        <color indexed="10"/>
        <rFont val="Angsana New"/>
        <family val="1"/>
      </rPr>
      <t>X</t>
    </r>
    <r>
      <rPr>
        <vertAlign val="superscript"/>
        <sz val="22"/>
        <color indexed="10"/>
        <rFont val="Angsana New"/>
        <family val="1"/>
      </rPr>
      <t>1.5639</t>
    </r>
  </si>
  <si>
    <r>
      <t>Y=4.0743</t>
    </r>
    <r>
      <rPr>
        <sz val="22"/>
        <color indexed="8"/>
        <rFont val="Angsana New"/>
        <family val="1"/>
      </rPr>
      <t>X</t>
    </r>
    <r>
      <rPr>
        <vertAlign val="superscript"/>
        <sz val="22"/>
        <color indexed="8"/>
        <rFont val="Angsana New"/>
        <family val="1"/>
      </rPr>
      <t>1.4414</t>
    </r>
  </si>
  <si>
    <r>
      <t>Y=3.7993</t>
    </r>
    <r>
      <rPr>
        <sz val="22"/>
        <color indexed="10"/>
        <rFont val="Angsana New"/>
        <family val="1"/>
      </rPr>
      <t>X</t>
    </r>
    <r>
      <rPr>
        <vertAlign val="superscript"/>
        <sz val="22"/>
        <color indexed="10"/>
        <rFont val="Angsana New"/>
        <family val="1"/>
      </rPr>
      <t>1.6716</t>
    </r>
  </si>
  <si>
    <r>
      <t>Y=5.1170x</t>
    </r>
    <r>
      <rPr>
        <vertAlign val="superscript"/>
        <sz val="22"/>
        <rFont val="Angsana New"/>
        <family val="1"/>
      </rPr>
      <t>1.3278</t>
    </r>
  </si>
  <si>
    <t>2014 - 2023</t>
  </si>
  <si>
    <r>
      <t>Y=0.5250</t>
    </r>
    <r>
      <rPr>
        <sz val="22"/>
        <color indexed="10"/>
        <rFont val="Angsana New"/>
        <family val="1"/>
      </rPr>
      <t>X</t>
    </r>
    <r>
      <rPr>
        <vertAlign val="superscript"/>
        <sz val="22"/>
        <color indexed="10"/>
        <rFont val="Angsana New"/>
        <family val="1"/>
      </rPr>
      <t>2.1476</t>
    </r>
  </si>
  <si>
    <r>
      <t>Y=0.5854</t>
    </r>
    <r>
      <rPr>
        <sz val="22"/>
        <color indexed="8"/>
        <rFont val="Angsana New"/>
        <family val="1"/>
      </rPr>
      <t>X</t>
    </r>
    <r>
      <rPr>
        <vertAlign val="superscript"/>
        <sz val="22"/>
        <color indexed="8"/>
        <rFont val="Angsana New"/>
        <family val="1"/>
      </rPr>
      <t>2.0751</t>
    </r>
  </si>
  <si>
    <r>
      <t>Y=0.4599</t>
    </r>
    <r>
      <rPr>
        <sz val="22"/>
        <color indexed="10"/>
        <rFont val="Angsana New"/>
        <family val="1"/>
      </rPr>
      <t>X</t>
    </r>
    <r>
      <rPr>
        <vertAlign val="superscript"/>
        <sz val="22"/>
        <color indexed="10"/>
        <rFont val="Angsana New"/>
        <family val="1"/>
      </rPr>
      <t>2.1597</t>
    </r>
  </si>
  <si>
    <r>
      <t>Y=0.7482</t>
    </r>
    <r>
      <rPr>
        <sz val="22"/>
        <color indexed="8"/>
        <rFont val="Angsana New"/>
        <family val="1"/>
      </rPr>
      <t>X</t>
    </r>
    <r>
      <rPr>
        <vertAlign val="superscript"/>
        <sz val="22"/>
        <color indexed="8"/>
        <rFont val="Angsana New"/>
        <family val="1"/>
      </rPr>
      <t>1.9391</t>
    </r>
  </si>
  <si>
    <r>
      <t>Y=0.2305</t>
    </r>
    <r>
      <rPr>
        <sz val="22"/>
        <color indexed="10"/>
        <rFont val="Angsana New"/>
        <family val="1"/>
      </rPr>
      <t>X</t>
    </r>
    <r>
      <rPr>
        <vertAlign val="superscript"/>
        <sz val="22"/>
        <color indexed="10"/>
        <rFont val="Angsana New"/>
        <family val="1"/>
      </rPr>
      <t>2.1610</t>
    </r>
  </si>
  <si>
    <r>
      <t>Y=1.6036x</t>
    </r>
    <r>
      <rPr>
        <vertAlign val="superscript"/>
        <sz val="22"/>
        <color indexed="8"/>
        <rFont val="Angsana New"/>
        <family val="1"/>
      </rPr>
      <t>1.5879</t>
    </r>
  </si>
  <si>
    <r>
      <t>y = 2.7890x</t>
    </r>
    <r>
      <rPr>
        <vertAlign val="superscript"/>
        <sz val="22"/>
        <color indexed="10"/>
        <rFont val="Angsana New"/>
        <family val="1"/>
      </rPr>
      <t>1.4888</t>
    </r>
  </si>
  <si>
    <r>
      <t>y = 0.8379x</t>
    </r>
    <r>
      <rPr>
        <vertAlign val="superscript"/>
        <sz val="22"/>
        <rFont val="Angsana New"/>
        <family val="1"/>
      </rPr>
      <t>1.6486</t>
    </r>
  </si>
  <si>
    <r>
      <t>Y=19.3974</t>
    </r>
    <r>
      <rPr>
        <sz val="22"/>
        <color indexed="10"/>
        <rFont val="Angsana New"/>
        <family val="1"/>
      </rPr>
      <t>X</t>
    </r>
    <r>
      <rPr>
        <vertAlign val="superscript"/>
        <sz val="22"/>
        <color indexed="10"/>
        <rFont val="Angsana New"/>
        <family val="1"/>
      </rPr>
      <t>2.2886</t>
    </r>
  </si>
  <si>
    <r>
      <t>Y=2.1339</t>
    </r>
    <r>
      <rPr>
        <sz val="22"/>
        <color indexed="8"/>
        <rFont val="Angsana New"/>
        <family val="1"/>
      </rPr>
      <t>X</t>
    </r>
    <r>
      <rPr>
        <vertAlign val="superscript"/>
        <sz val="22"/>
        <color indexed="8"/>
        <rFont val="Angsana New"/>
        <family val="1"/>
      </rPr>
      <t>1.4594</t>
    </r>
  </si>
  <si>
    <r>
      <t>Y=4.2736</t>
    </r>
    <r>
      <rPr>
        <sz val="22"/>
        <color indexed="10"/>
        <rFont val="Angsana New"/>
        <family val="1"/>
      </rPr>
      <t>X</t>
    </r>
    <r>
      <rPr>
        <vertAlign val="superscript"/>
        <sz val="22"/>
        <color indexed="10"/>
        <rFont val="Angsana New"/>
        <family val="1"/>
      </rPr>
      <t>1.3216</t>
    </r>
  </si>
  <si>
    <r>
      <t>Y=2.1980</t>
    </r>
    <r>
      <rPr>
        <sz val="22"/>
        <color indexed="8"/>
        <rFont val="Angsana New"/>
        <family val="1"/>
      </rPr>
      <t>X</t>
    </r>
    <r>
      <rPr>
        <vertAlign val="superscript"/>
        <sz val="22"/>
        <color indexed="8"/>
        <rFont val="Angsana New"/>
        <family val="1"/>
      </rPr>
      <t>1.4985</t>
    </r>
  </si>
  <si>
    <r>
      <t>y = 0.7417x</t>
    </r>
    <r>
      <rPr>
        <vertAlign val="superscript"/>
        <sz val="22"/>
        <color indexed="10"/>
        <rFont val="Angsana New"/>
        <family val="1"/>
      </rPr>
      <t>1.6160</t>
    </r>
  </si>
  <si>
    <r>
      <t>Y=1.3998</t>
    </r>
    <r>
      <rPr>
        <sz val="22"/>
        <color indexed="10"/>
        <rFont val="Angsana New"/>
        <family val="1"/>
      </rPr>
      <t>X</t>
    </r>
    <r>
      <rPr>
        <vertAlign val="superscript"/>
        <sz val="22"/>
        <color indexed="10"/>
        <rFont val="Angsana New"/>
        <family val="1"/>
      </rPr>
      <t>0.8494</t>
    </r>
  </si>
  <si>
    <r>
      <t>Y=1.3228</t>
    </r>
    <r>
      <rPr>
        <sz val="22"/>
        <color indexed="8"/>
        <rFont val="Angsana New"/>
        <family val="1"/>
      </rPr>
      <t>X</t>
    </r>
    <r>
      <rPr>
        <vertAlign val="superscript"/>
        <sz val="22"/>
        <color indexed="8"/>
        <rFont val="Angsana New"/>
        <family val="1"/>
      </rPr>
      <t>1.3523</t>
    </r>
  </si>
  <si>
    <r>
      <t>y = 0.7796x</t>
    </r>
    <r>
      <rPr>
        <vertAlign val="superscript"/>
        <sz val="22"/>
        <rFont val="Angsana New"/>
        <family val="1"/>
      </rPr>
      <t>1.4658</t>
    </r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</si>
</sst>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"/>
    <numFmt numFmtId="204" formatCode="0.000000"/>
    <numFmt numFmtId="205" formatCode="0.0000"/>
    <numFmt numFmtId="206" formatCode="0.000"/>
    <numFmt numFmtId="207" formatCode="_-* #,##0.0_-;\-* #,##0.0_-;_-* &quot;-&quot;??_-;_-@_-"/>
    <numFmt numFmtId="208" formatCode="_-* #,##0_-;\-* #,##0_-;_-* &quot;-&quot;??_-;_-@_-"/>
    <numFmt numFmtId="209" formatCode="0.0000000"/>
    <numFmt numFmtId="210" formatCode="0.00000000"/>
    <numFmt numFmtId="211" formatCode="0.000000000"/>
    <numFmt numFmtId="212" formatCode="0.0000000000"/>
    <numFmt numFmtId="213" formatCode="0.00000000000"/>
    <numFmt numFmtId="214" formatCode="0.000000000000"/>
    <numFmt numFmtId="215" formatCode="0.0000000000000"/>
    <numFmt numFmtId="216" formatCode="0.0"/>
    <numFmt numFmtId="217" formatCode="#,##0.0"/>
    <numFmt numFmtId="218" formatCode="#,##0.000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  <numFmt numFmtId="223" formatCode="_-* #,##0.000_-;\-* #,##0.000_-;_-* &quot;-&quot;??_-;_-@_-"/>
    <numFmt numFmtId="224" formatCode="_-* #,##0.0000_-;\-* #,##0.0000_-;_-* &quot;-&quot;??_-;_-@_-"/>
  </numFmts>
  <fonts count="75">
    <font>
      <sz val="14"/>
      <name val="Cordia New"/>
      <family val="0"/>
    </font>
    <font>
      <b/>
      <sz val="18"/>
      <color indexed="48"/>
      <name val="DilleniaUPC"/>
      <family val="1"/>
    </font>
    <font>
      <b/>
      <sz val="18"/>
      <color indexed="10"/>
      <name val="DilleniaUPC"/>
      <family val="1"/>
    </font>
    <font>
      <b/>
      <vertAlign val="superscript"/>
      <sz val="18"/>
      <color indexed="10"/>
      <name val="DilleniaUPC"/>
      <family val="1"/>
    </font>
    <font>
      <sz val="18"/>
      <name val="DilleniaUPC"/>
      <family val="1"/>
    </font>
    <font>
      <sz val="16"/>
      <color indexed="12"/>
      <name val="DilleniaUPC"/>
      <family val="1"/>
    </font>
    <font>
      <sz val="16"/>
      <name val="DilleniaUPC"/>
      <family val="1"/>
    </font>
    <font>
      <sz val="16"/>
      <color indexed="10"/>
      <name val="DilleniaUPC"/>
      <family val="1"/>
    </font>
    <font>
      <sz val="8"/>
      <name val="Cordia New"/>
      <family val="2"/>
    </font>
    <font>
      <b/>
      <sz val="18"/>
      <color indexed="48"/>
      <name val="Angsana New"/>
      <family val="1"/>
    </font>
    <font>
      <b/>
      <sz val="18"/>
      <color indexed="10"/>
      <name val="Angsana New"/>
      <family val="1"/>
    </font>
    <font>
      <b/>
      <vertAlign val="superscript"/>
      <sz val="18"/>
      <color indexed="10"/>
      <name val="Angsana New"/>
      <family val="1"/>
    </font>
    <font>
      <sz val="18"/>
      <name val="Angsana New"/>
      <family val="1"/>
    </font>
    <font>
      <sz val="16"/>
      <color indexed="12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vertAlign val="superscript"/>
      <sz val="16"/>
      <color indexed="10"/>
      <name val="Angsana New"/>
      <family val="1"/>
    </font>
    <font>
      <sz val="16"/>
      <color indexed="8"/>
      <name val="Angsana New"/>
      <family val="1"/>
    </font>
    <font>
      <vertAlign val="superscript"/>
      <sz val="16"/>
      <color indexed="8"/>
      <name val="Angsana New"/>
      <family val="1"/>
    </font>
    <font>
      <vertAlign val="superscript"/>
      <sz val="16"/>
      <color indexed="12"/>
      <name val="Angsana New"/>
      <family val="1"/>
    </font>
    <font>
      <vertAlign val="superscript"/>
      <sz val="18"/>
      <name val="Angsana New"/>
      <family val="1"/>
    </font>
    <font>
      <vertAlign val="superscript"/>
      <sz val="16"/>
      <name val="Angsana New"/>
      <family val="1"/>
    </font>
    <font>
      <sz val="22"/>
      <name val="Angsana New"/>
      <family val="1"/>
    </font>
    <font>
      <sz val="22"/>
      <name val="Cordia New"/>
      <family val="2"/>
    </font>
    <font>
      <sz val="22"/>
      <color indexed="8"/>
      <name val="Angsana New"/>
      <family val="1"/>
    </font>
    <font>
      <b/>
      <sz val="22"/>
      <color indexed="48"/>
      <name val="Angsana New"/>
      <family val="1"/>
    </font>
    <font>
      <b/>
      <sz val="22"/>
      <color indexed="10"/>
      <name val="Angsana New"/>
      <family val="1"/>
    </font>
    <font>
      <b/>
      <vertAlign val="superscript"/>
      <sz val="22"/>
      <color indexed="10"/>
      <name val="Angsana New"/>
      <family val="1"/>
    </font>
    <font>
      <sz val="22"/>
      <color indexed="12"/>
      <name val="Angsana New"/>
      <family val="1"/>
    </font>
    <font>
      <sz val="22"/>
      <color indexed="10"/>
      <name val="Angsana New"/>
      <family val="1"/>
    </font>
    <font>
      <vertAlign val="superscript"/>
      <sz val="22"/>
      <color indexed="10"/>
      <name val="Angsana New"/>
      <family val="1"/>
    </font>
    <font>
      <vertAlign val="superscript"/>
      <sz val="22"/>
      <name val="Angsana New"/>
      <family val="1"/>
    </font>
    <font>
      <vertAlign val="superscript"/>
      <sz val="22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22"/>
      <color indexed="8"/>
      <name val="AngsanaUPC"/>
      <family val="1"/>
    </font>
    <font>
      <sz val="22"/>
      <color indexed="13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  <font>
      <sz val="22"/>
      <color rgb="FFFF0000"/>
      <name val="Angsana New"/>
      <family val="1"/>
    </font>
    <font>
      <sz val="22"/>
      <color theme="1"/>
      <name val="Angsana New"/>
      <family val="1"/>
    </font>
    <font>
      <sz val="22"/>
      <color rgb="FF000000"/>
      <name val="AngsanaUPC"/>
      <family val="1"/>
    </font>
    <font>
      <sz val="22"/>
      <color rgb="FF000000"/>
      <name val="Angsana New"/>
      <family val="1"/>
    </font>
    <font>
      <sz val="22"/>
      <color rgb="FFFFFF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12" fontId="6" fillId="0" borderId="13" xfId="0" applyNumberFormat="1" applyFont="1" applyBorder="1" applyAlignment="1">
      <alignment/>
    </xf>
    <xf numFmtId="212" fontId="4" fillId="0" borderId="0" xfId="0" applyNumberFormat="1" applyFont="1" applyAlignment="1">
      <alignment/>
    </xf>
    <xf numFmtId="212" fontId="6" fillId="0" borderId="15" xfId="0" applyNumberFormat="1" applyFont="1" applyBorder="1" applyAlignment="1">
      <alignment/>
    </xf>
    <xf numFmtId="212" fontId="1" fillId="33" borderId="16" xfId="0" applyNumberFormat="1" applyFont="1" applyFill="1" applyBorder="1" applyAlignment="1">
      <alignment horizontal="center" vertical="center"/>
    </xf>
    <xf numFmtId="215" fontId="6" fillId="0" borderId="10" xfId="0" applyNumberFormat="1" applyFont="1" applyBorder="1" applyAlignment="1">
      <alignment/>
    </xf>
    <xf numFmtId="215" fontId="6" fillId="0" borderId="11" xfId="0" applyNumberFormat="1" applyFont="1" applyBorder="1" applyAlignment="1">
      <alignment/>
    </xf>
    <xf numFmtId="215" fontId="6" fillId="0" borderId="12" xfId="0" applyNumberFormat="1" applyFont="1" applyBorder="1" applyAlignment="1">
      <alignment/>
    </xf>
    <xf numFmtId="215" fontId="6" fillId="0" borderId="14" xfId="0" applyNumberFormat="1" applyFont="1" applyBorder="1" applyAlignment="1">
      <alignment/>
    </xf>
    <xf numFmtId="212" fontId="1" fillId="33" borderId="17" xfId="0" applyNumberFormat="1" applyFont="1" applyFill="1" applyBorder="1" applyAlignment="1">
      <alignment horizontal="left" vertical="center"/>
    </xf>
    <xf numFmtId="212" fontId="6" fillId="0" borderId="18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3" fillId="33" borderId="19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3" fillId="33" borderId="20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205" fontId="12" fillId="0" borderId="0" xfId="0" applyNumberFormat="1" applyFont="1" applyAlignment="1">
      <alignment horizontal="center"/>
    </xf>
    <xf numFmtId="212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9" fillId="33" borderId="2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205" fontId="17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205" fontId="17" fillId="0" borderId="10" xfId="0" applyNumberFormat="1" applyFont="1" applyFill="1" applyBorder="1" applyAlignment="1">
      <alignment horizontal="center"/>
    </xf>
    <xf numFmtId="205" fontId="17" fillId="0" borderId="10" xfId="0" applyNumberFormat="1" applyFont="1" applyFill="1" applyBorder="1" applyAlignment="1">
      <alignment/>
    </xf>
    <xf numFmtId="212" fontId="17" fillId="0" borderId="10" xfId="0" applyNumberFormat="1" applyFont="1" applyFill="1" applyBorder="1" applyAlignment="1">
      <alignment/>
    </xf>
    <xf numFmtId="3" fontId="17" fillId="0" borderId="10" xfId="36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left"/>
    </xf>
    <xf numFmtId="1" fontId="17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205" fontId="17" fillId="0" borderId="11" xfId="0" applyNumberFormat="1" applyFont="1" applyFill="1" applyBorder="1" applyAlignment="1">
      <alignment/>
    </xf>
    <xf numFmtId="212" fontId="17" fillId="0" borderId="11" xfId="0" applyNumberFormat="1" applyFont="1" applyFill="1" applyBorder="1" applyAlignment="1">
      <alignment/>
    </xf>
    <xf numFmtId="3" fontId="17" fillId="0" borderId="11" xfId="36" applyNumberFormat="1" applyFont="1" applyFill="1" applyBorder="1" applyAlignment="1">
      <alignment horizontal="right"/>
    </xf>
    <xf numFmtId="0" fontId="17" fillId="0" borderId="11" xfId="0" applyFont="1" applyFill="1" applyBorder="1" applyAlignment="1">
      <alignment horizontal="left"/>
    </xf>
    <xf numFmtId="212" fontId="17" fillId="0" borderId="24" xfId="0" applyNumberFormat="1" applyFont="1" applyFill="1" applyBorder="1" applyAlignment="1">
      <alignment/>
    </xf>
    <xf numFmtId="1" fontId="18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 vertical="justify"/>
    </xf>
    <xf numFmtId="0" fontId="17" fillId="0" borderId="11" xfId="0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205" fontId="17" fillId="0" borderId="11" xfId="0" applyNumberFormat="1" applyFont="1" applyFill="1" applyBorder="1" applyAlignment="1">
      <alignment horizontal="center" vertical="center"/>
    </xf>
    <xf numFmtId="205" fontId="17" fillId="0" borderId="11" xfId="0" applyNumberFormat="1" applyFont="1" applyFill="1" applyBorder="1" applyAlignment="1">
      <alignment vertical="center"/>
    </xf>
    <xf numFmtId="212" fontId="17" fillId="0" borderId="11" xfId="0" applyNumberFormat="1" applyFont="1" applyFill="1" applyBorder="1" applyAlignment="1">
      <alignment vertical="center"/>
    </xf>
    <xf numFmtId="3" fontId="17" fillId="0" borderId="11" xfId="36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center" vertical="center"/>
    </xf>
    <xf numFmtId="1" fontId="17" fillId="0" borderId="25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205" fontId="17" fillId="0" borderId="25" xfId="0" applyNumberFormat="1" applyFont="1" applyFill="1" applyBorder="1" applyAlignment="1">
      <alignment horizontal="center" vertical="center"/>
    </xf>
    <xf numFmtId="205" fontId="17" fillId="0" borderId="25" xfId="0" applyNumberFormat="1" applyFont="1" applyFill="1" applyBorder="1" applyAlignment="1">
      <alignment vertical="center"/>
    </xf>
    <xf numFmtId="212" fontId="17" fillId="0" borderId="25" xfId="0" applyNumberFormat="1" applyFont="1" applyFill="1" applyBorder="1" applyAlignment="1">
      <alignment vertical="center"/>
    </xf>
    <xf numFmtId="3" fontId="17" fillId="0" borderId="25" xfId="36" applyNumberFormat="1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center" vertical="center"/>
    </xf>
    <xf numFmtId="1" fontId="17" fillId="0" borderId="14" xfId="0" applyNumberFormat="1" applyFont="1" applyFill="1" applyBorder="1" applyAlignment="1">
      <alignment horizontal="center" vertical="center"/>
    </xf>
    <xf numFmtId="205" fontId="17" fillId="0" borderId="14" xfId="0" applyNumberFormat="1" applyFont="1" applyFill="1" applyBorder="1" applyAlignment="1">
      <alignment horizontal="center" vertical="center"/>
    </xf>
    <xf numFmtId="205" fontId="17" fillId="0" borderId="14" xfId="0" applyNumberFormat="1" applyFont="1" applyFill="1" applyBorder="1" applyAlignment="1">
      <alignment vertical="center"/>
    </xf>
    <xf numFmtId="212" fontId="17" fillId="0" borderId="14" xfId="0" applyNumberFormat="1" applyFont="1" applyFill="1" applyBorder="1" applyAlignment="1">
      <alignment vertical="center"/>
    </xf>
    <xf numFmtId="3" fontId="17" fillId="0" borderId="14" xfId="36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/>
    </xf>
    <xf numFmtId="3" fontId="17" fillId="0" borderId="11" xfId="0" applyNumberFormat="1" applyFont="1" applyFill="1" applyBorder="1" applyAlignment="1">
      <alignment horizontal="right" vertical="center"/>
    </xf>
    <xf numFmtId="0" fontId="17" fillId="0" borderId="24" xfId="0" applyFont="1" applyFill="1" applyBorder="1" applyAlignment="1">
      <alignment horizontal="center"/>
    </xf>
    <xf numFmtId="1" fontId="17" fillId="0" borderId="24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205" fontId="17" fillId="0" borderId="24" xfId="0" applyNumberFormat="1" applyFont="1" applyFill="1" applyBorder="1" applyAlignment="1">
      <alignment horizontal="center"/>
    </xf>
    <xf numFmtId="205" fontId="17" fillId="0" borderId="24" xfId="0" applyNumberFormat="1" applyFont="1" applyFill="1" applyBorder="1" applyAlignment="1">
      <alignment/>
    </xf>
    <xf numFmtId="3" fontId="17" fillId="0" borderId="24" xfId="36" applyNumberFormat="1" applyFont="1" applyFill="1" applyBorder="1" applyAlignment="1">
      <alignment horizontal="right"/>
    </xf>
    <xf numFmtId="0" fontId="17" fillId="0" borderId="24" xfId="0" applyFont="1" applyFill="1" applyBorder="1" applyAlignment="1">
      <alignment horizontal="left" vertical="justify"/>
    </xf>
    <xf numFmtId="0" fontId="17" fillId="0" borderId="14" xfId="0" applyFont="1" applyFill="1" applyBorder="1" applyAlignment="1">
      <alignment horizontal="center"/>
    </xf>
    <xf numFmtId="1" fontId="17" fillId="0" borderId="14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205" fontId="17" fillId="0" borderId="14" xfId="0" applyNumberFormat="1" applyFont="1" applyFill="1" applyBorder="1" applyAlignment="1">
      <alignment horizontal="center"/>
    </xf>
    <xf numFmtId="205" fontId="17" fillId="0" borderId="14" xfId="0" applyNumberFormat="1" applyFont="1" applyFill="1" applyBorder="1" applyAlignment="1">
      <alignment/>
    </xf>
    <xf numFmtId="212" fontId="17" fillId="0" borderId="14" xfId="0" applyNumberFormat="1" applyFont="1" applyFill="1" applyBorder="1" applyAlignment="1">
      <alignment/>
    </xf>
    <xf numFmtId="3" fontId="17" fillId="0" borderId="14" xfId="36" applyNumberFormat="1" applyFont="1" applyFill="1" applyBorder="1" applyAlignment="1">
      <alignment horizontal="right"/>
    </xf>
    <xf numFmtId="0" fontId="17" fillId="0" borderId="14" xfId="0" applyFont="1" applyFill="1" applyBorder="1" applyAlignment="1">
      <alignment horizontal="left" vertical="justify"/>
    </xf>
    <xf numFmtId="0" fontId="15" fillId="0" borderId="1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17" fillId="0" borderId="24" xfId="0" applyFont="1" applyFill="1" applyBorder="1" applyAlignment="1">
      <alignment horizontal="center" vertical="center"/>
    </xf>
    <xf numFmtId="1" fontId="17" fillId="0" borderId="24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205" fontId="17" fillId="0" borderId="24" xfId="0" applyNumberFormat="1" applyFont="1" applyFill="1" applyBorder="1" applyAlignment="1">
      <alignment horizontal="center" vertical="center"/>
    </xf>
    <xf numFmtId="205" fontId="17" fillId="0" borderId="24" xfId="0" applyNumberFormat="1" applyFont="1" applyFill="1" applyBorder="1" applyAlignment="1">
      <alignment vertical="center"/>
    </xf>
    <xf numFmtId="212" fontId="17" fillId="0" borderId="24" xfId="0" applyNumberFormat="1" applyFont="1" applyFill="1" applyBorder="1" applyAlignment="1">
      <alignment vertical="center"/>
    </xf>
    <xf numFmtId="3" fontId="17" fillId="0" borderId="24" xfId="0" applyNumberFormat="1" applyFont="1" applyFill="1" applyBorder="1" applyAlignment="1">
      <alignment horizontal="right" vertical="center"/>
    </xf>
    <xf numFmtId="0" fontId="17" fillId="0" borderId="24" xfId="0" applyFont="1" applyBorder="1" applyAlignment="1">
      <alignment horizontal="left"/>
    </xf>
    <xf numFmtId="0" fontId="14" fillId="0" borderId="26" xfId="0" applyFont="1" applyBorder="1" applyAlignment="1">
      <alignment/>
    </xf>
    <xf numFmtId="212" fontId="14" fillId="0" borderId="26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212" fontId="14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205" fontId="17" fillId="0" borderId="0" xfId="0" applyNumberFormat="1" applyFont="1" applyFill="1" applyBorder="1" applyAlignment="1">
      <alignment horizontal="center"/>
    </xf>
    <xf numFmtId="205" fontId="17" fillId="0" borderId="0" xfId="0" applyNumberFormat="1" applyFont="1" applyFill="1" applyBorder="1" applyAlignment="1">
      <alignment/>
    </xf>
    <xf numFmtId="212" fontId="17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208" fontId="17" fillId="0" borderId="0" xfId="36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208" fontId="18" fillId="0" borderId="0" xfId="36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205" fontId="17" fillId="0" borderId="0" xfId="0" applyNumberFormat="1" applyFont="1" applyBorder="1" applyAlignment="1">
      <alignment horizontal="center"/>
    </xf>
    <xf numFmtId="212" fontId="17" fillId="0" borderId="0" xfId="0" applyNumberFormat="1" applyFont="1" applyBorder="1" applyAlignment="1">
      <alignment/>
    </xf>
    <xf numFmtId="41" fontId="17" fillId="0" borderId="0" xfId="36" applyNumberFormat="1" applyFont="1" applyBorder="1" applyAlignment="1">
      <alignment horizontal="center"/>
    </xf>
    <xf numFmtId="0" fontId="15" fillId="0" borderId="24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205" fontId="14" fillId="0" borderId="11" xfId="0" applyNumberFormat="1" applyFont="1" applyFill="1" applyBorder="1" applyAlignment="1">
      <alignment horizontal="center"/>
    </xf>
    <xf numFmtId="205" fontId="14" fillId="0" borderId="11" xfId="0" applyNumberFormat="1" applyFont="1" applyFill="1" applyBorder="1" applyAlignment="1">
      <alignment/>
    </xf>
    <xf numFmtId="0" fontId="69" fillId="0" borderId="11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7" fillId="34" borderId="14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212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205" fontId="22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212" fontId="22" fillId="0" borderId="0" xfId="0" applyNumberFormat="1" applyFont="1" applyFill="1" applyAlignment="1">
      <alignment/>
    </xf>
    <xf numFmtId="205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212" fontId="22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/>
    </xf>
    <xf numFmtId="0" fontId="28" fillId="33" borderId="28" xfId="0" applyFont="1" applyFill="1" applyBorder="1" applyAlignment="1">
      <alignment horizontal="center"/>
    </xf>
    <xf numFmtId="0" fontId="28" fillId="33" borderId="2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1" fontId="24" fillId="0" borderId="29" xfId="0" applyNumberFormat="1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205" fontId="22" fillId="0" borderId="10" xfId="0" applyNumberFormat="1" applyFont="1" applyFill="1" applyBorder="1" applyAlignment="1">
      <alignment horizontal="center"/>
    </xf>
    <xf numFmtId="205" fontId="24" fillId="0" borderId="10" xfId="0" applyNumberFormat="1" applyFont="1" applyFill="1" applyBorder="1" applyAlignment="1">
      <alignment/>
    </xf>
    <xf numFmtId="212" fontId="24" fillId="0" borderId="10" xfId="0" applyNumberFormat="1" applyFont="1" applyFill="1" applyBorder="1" applyAlignment="1">
      <alignment/>
    </xf>
    <xf numFmtId="3" fontId="24" fillId="0" borderId="10" xfId="36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left" vertical="justify"/>
    </xf>
    <xf numFmtId="0" fontId="24" fillId="0" borderId="11" xfId="0" applyFont="1" applyFill="1" applyBorder="1" applyAlignment="1">
      <alignment horizontal="center"/>
    </xf>
    <xf numFmtId="1" fontId="24" fillId="0" borderId="30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205" fontId="22" fillId="0" borderId="11" xfId="0" applyNumberFormat="1" applyFont="1" applyFill="1" applyBorder="1" applyAlignment="1">
      <alignment horizontal="center"/>
    </xf>
    <xf numFmtId="205" fontId="24" fillId="0" borderId="11" xfId="0" applyNumberFormat="1" applyFont="1" applyFill="1" applyBorder="1" applyAlignment="1">
      <alignment/>
    </xf>
    <xf numFmtId="212" fontId="24" fillId="0" borderId="11" xfId="0" applyNumberFormat="1" applyFont="1" applyFill="1" applyBorder="1" applyAlignment="1">
      <alignment/>
    </xf>
    <xf numFmtId="3" fontId="24" fillId="0" borderId="11" xfId="36" applyNumberFormat="1" applyFont="1" applyFill="1" applyBorder="1" applyAlignment="1">
      <alignment horizontal="right"/>
    </xf>
    <xf numFmtId="0" fontId="24" fillId="0" borderId="11" xfId="0" applyFont="1" applyFill="1" applyBorder="1" applyAlignment="1">
      <alignment horizontal="left"/>
    </xf>
    <xf numFmtId="205" fontId="24" fillId="0" borderId="11" xfId="0" applyNumberFormat="1" applyFont="1" applyFill="1" applyBorder="1" applyAlignment="1">
      <alignment horizontal="center"/>
    </xf>
    <xf numFmtId="212" fontId="24" fillId="0" borderId="24" xfId="0" applyNumberFormat="1" applyFont="1" applyFill="1" applyBorder="1" applyAlignment="1">
      <alignment/>
    </xf>
    <xf numFmtId="0" fontId="24" fillId="34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205" fontId="22" fillId="0" borderId="0" xfId="0" applyNumberFormat="1" applyFont="1" applyFill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70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left" vertical="justify"/>
    </xf>
    <xf numFmtId="0" fontId="22" fillId="0" borderId="11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/>
    </xf>
    <xf numFmtId="1" fontId="24" fillId="0" borderId="31" xfId="0" applyNumberFormat="1" applyFont="1" applyFill="1" applyBorder="1" applyAlignment="1">
      <alignment horizontal="center"/>
    </xf>
    <xf numFmtId="0" fontId="71" fillId="0" borderId="24" xfId="0" applyFont="1" applyFill="1" applyBorder="1" applyAlignment="1">
      <alignment horizontal="center"/>
    </xf>
    <xf numFmtId="205" fontId="24" fillId="0" borderId="24" xfId="0" applyNumberFormat="1" applyFont="1" applyFill="1" applyBorder="1" applyAlignment="1">
      <alignment horizontal="center"/>
    </xf>
    <xf numFmtId="205" fontId="24" fillId="0" borderId="24" xfId="0" applyNumberFormat="1" applyFont="1" applyFill="1" applyBorder="1" applyAlignment="1">
      <alignment/>
    </xf>
    <xf numFmtId="3" fontId="24" fillId="0" borderId="24" xfId="36" applyNumberFormat="1" applyFont="1" applyFill="1" applyBorder="1" applyAlignment="1">
      <alignment horizontal="right"/>
    </xf>
    <xf numFmtId="0" fontId="24" fillId="0" borderId="24" xfId="0" applyFont="1" applyFill="1" applyBorder="1" applyAlignment="1">
      <alignment horizontal="left" vertical="justify"/>
    </xf>
    <xf numFmtId="0" fontId="24" fillId="0" borderId="14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1" fontId="24" fillId="0" borderId="32" xfId="0" applyNumberFormat="1" applyFont="1" applyFill="1" applyBorder="1" applyAlignment="1">
      <alignment horizontal="center"/>
    </xf>
    <xf numFmtId="0" fontId="70" fillId="0" borderId="14" xfId="0" applyFont="1" applyFill="1" applyBorder="1" applyAlignment="1">
      <alignment horizontal="center"/>
    </xf>
    <xf numFmtId="205" fontId="24" fillId="0" borderId="14" xfId="0" applyNumberFormat="1" applyFont="1" applyFill="1" applyBorder="1" applyAlignment="1">
      <alignment horizontal="center"/>
    </xf>
    <xf numFmtId="205" fontId="24" fillId="0" borderId="14" xfId="0" applyNumberFormat="1" applyFont="1" applyFill="1" applyBorder="1" applyAlignment="1">
      <alignment/>
    </xf>
    <xf numFmtId="212" fontId="24" fillId="0" borderId="14" xfId="0" applyNumberFormat="1" applyFont="1" applyFill="1" applyBorder="1" applyAlignment="1">
      <alignment/>
    </xf>
    <xf numFmtId="3" fontId="24" fillId="0" borderId="14" xfId="36" applyNumberFormat="1" applyFont="1" applyFill="1" applyBorder="1" applyAlignment="1">
      <alignment horizontal="right"/>
    </xf>
    <xf numFmtId="0" fontId="71" fillId="0" borderId="11" xfId="0" applyFont="1" applyFill="1" applyBorder="1" applyAlignment="1">
      <alignment horizontal="center"/>
    </xf>
    <xf numFmtId="212" fontId="22" fillId="0" borderId="11" xfId="0" applyNumberFormat="1" applyFont="1" applyFill="1" applyBorder="1" applyAlignment="1">
      <alignment/>
    </xf>
    <xf numFmtId="205" fontId="72" fillId="0" borderId="11" xfId="0" applyNumberFormat="1" applyFont="1" applyFill="1" applyBorder="1" applyAlignment="1">
      <alignment horizontal="center" vertical="center" readingOrder="2"/>
    </xf>
    <xf numFmtId="205" fontId="22" fillId="0" borderId="11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205" fontId="73" fillId="0" borderId="11" xfId="0" applyNumberFormat="1" applyFont="1" applyFill="1" applyBorder="1" applyAlignment="1">
      <alignment horizontal="center" vertical="center" readingOrder="1"/>
    </xf>
    <xf numFmtId="205" fontId="24" fillId="0" borderId="11" xfId="0" applyNumberFormat="1" applyFont="1" applyFill="1" applyBorder="1" applyAlignment="1">
      <alignment vertical="center"/>
    </xf>
    <xf numFmtId="3" fontId="24" fillId="0" borderId="11" xfId="36" applyNumberFormat="1" applyFont="1" applyFill="1" applyBorder="1" applyAlignment="1">
      <alignment horizontal="right" vertical="center"/>
    </xf>
    <xf numFmtId="205" fontId="24" fillId="0" borderId="11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left" vertical="center"/>
    </xf>
    <xf numFmtId="0" fontId="70" fillId="0" borderId="11" xfId="0" applyFont="1" applyFill="1" applyBorder="1" applyAlignment="1">
      <alignment horizontal="center" vertical="justify"/>
    </xf>
    <xf numFmtId="0" fontId="24" fillId="0" borderId="14" xfId="0" applyFont="1" applyFill="1" applyBorder="1" applyAlignment="1">
      <alignment horizontal="center" vertical="center"/>
    </xf>
    <xf numFmtId="1" fontId="24" fillId="0" borderId="33" xfId="0" applyNumberFormat="1" applyFont="1" applyFill="1" applyBorder="1" applyAlignment="1">
      <alignment horizontal="center" vertical="center"/>
    </xf>
    <xf numFmtId="205" fontId="24" fillId="0" borderId="25" xfId="0" applyNumberFormat="1" applyFont="1" applyFill="1" applyBorder="1" applyAlignment="1">
      <alignment horizontal="center" vertical="center"/>
    </xf>
    <xf numFmtId="205" fontId="24" fillId="0" borderId="25" xfId="0" applyNumberFormat="1" applyFont="1" applyFill="1" applyBorder="1" applyAlignment="1">
      <alignment vertical="center"/>
    </xf>
    <xf numFmtId="212" fontId="24" fillId="0" borderId="25" xfId="0" applyNumberFormat="1" applyFont="1" applyFill="1" applyBorder="1" applyAlignment="1">
      <alignment vertical="center"/>
    </xf>
    <xf numFmtId="3" fontId="24" fillId="0" borderId="25" xfId="36" applyNumberFormat="1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center" vertical="center"/>
    </xf>
    <xf numFmtId="212" fontId="24" fillId="0" borderId="11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horizontal="center" vertical="center"/>
    </xf>
    <xf numFmtId="205" fontId="24" fillId="0" borderId="24" xfId="0" applyNumberFormat="1" applyFont="1" applyFill="1" applyBorder="1" applyAlignment="1">
      <alignment horizontal="center" vertical="center"/>
    </xf>
    <xf numFmtId="205" fontId="24" fillId="0" borderId="24" xfId="0" applyNumberFormat="1" applyFont="1" applyFill="1" applyBorder="1" applyAlignment="1">
      <alignment vertical="center"/>
    </xf>
    <xf numFmtId="212" fontId="24" fillId="0" borderId="24" xfId="0" applyNumberFormat="1" applyFont="1" applyFill="1" applyBorder="1" applyAlignment="1">
      <alignment vertical="center"/>
    </xf>
    <xf numFmtId="0" fontId="24" fillId="34" borderId="14" xfId="0" applyFont="1" applyFill="1" applyBorder="1" applyAlignment="1">
      <alignment horizontal="center" vertical="center"/>
    </xf>
    <xf numFmtId="1" fontId="24" fillId="0" borderId="32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205" fontId="24" fillId="0" borderId="14" xfId="0" applyNumberFormat="1" applyFont="1" applyFill="1" applyBorder="1" applyAlignment="1">
      <alignment horizontal="center" vertical="center"/>
    </xf>
    <xf numFmtId="205" fontId="24" fillId="0" borderId="14" xfId="0" applyNumberFormat="1" applyFont="1" applyFill="1" applyBorder="1" applyAlignment="1">
      <alignment vertical="center"/>
    </xf>
    <xf numFmtId="212" fontId="24" fillId="0" borderId="14" xfId="0" applyNumberFormat="1" applyFont="1" applyFill="1" applyBorder="1" applyAlignment="1">
      <alignment vertical="center"/>
    </xf>
    <xf numFmtId="3" fontId="24" fillId="0" borderId="14" xfId="36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3" fontId="24" fillId="0" borderId="11" xfId="0" applyNumberFormat="1" applyFont="1" applyFill="1" applyBorder="1" applyAlignment="1">
      <alignment horizontal="right" vertical="center"/>
    </xf>
    <xf numFmtId="0" fontId="22" fillId="0" borderId="11" xfId="0" applyFont="1" applyBorder="1" applyAlignment="1">
      <alignment/>
    </xf>
    <xf numFmtId="0" fontId="22" fillId="0" borderId="31" xfId="0" applyFont="1" applyBorder="1" applyAlignment="1">
      <alignment/>
    </xf>
    <xf numFmtId="205" fontId="22" fillId="0" borderId="11" xfId="0" applyNumberFormat="1" applyFont="1" applyBorder="1" applyAlignment="1">
      <alignment/>
    </xf>
    <xf numFmtId="0" fontId="22" fillId="0" borderId="11" xfId="0" applyFont="1" applyFill="1" applyBorder="1" applyAlignment="1">
      <alignment/>
    </xf>
    <xf numFmtId="3" fontId="24" fillId="0" borderId="11" xfId="0" applyNumberFormat="1" applyFont="1" applyFill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/>
    </xf>
    <xf numFmtId="0" fontId="29" fillId="0" borderId="24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 horizontal="center" vertical="center"/>
    </xf>
    <xf numFmtId="1" fontId="24" fillId="0" borderId="24" xfId="0" applyNumberFormat="1" applyFont="1" applyFill="1" applyBorder="1" applyAlignment="1">
      <alignment horizontal="center" vertical="center"/>
    </xf>
    <xf numFmtId="3" fontId="24" fillId="0" borderId="24" xfId="0" applyNumberFormat="1" applyFont="1" applyFill="1" applyBorder="1" applyAlignment="1">
      <alignment horizontal="right" vertical="center"/>
    </xf>
    <xf numFmtId="0" fontId="24" fillId="0" borderId="24" xfId="0" applyFont="1" applyBorder="1" applyAlignment="1">
      <alignment horizontal="left"/>
    </xf>
    <xf numFmtId="0" fontId="22" fillId="0" borderId="26" xfId="0" applyFont="1" applyBorder="1" applyAlignment="1">
      <alignment/>
    </xf>
    <xf numFmtId="1" fontId="22" fillId="0" borderId="26" xfId="0" applyNumberFormat="1" applyFont="1" applyBorder="1" applyAlignment="1">
      <alignment/>
    </xf>
    <xf numFmtId="205" fontId="22" fillId="0" borderId="26" xfId="0" applyNumberFormat="1" applyFont="1" applyBorder="1" applyAlignment="1">
      <alignment/>
    </xf>
    <xf numFmtId="212" fontId="22" fillId="0" borderId="26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11" xfId="0" applyFont="1" applyBorder="1" applyAlignment="1">
      <alignment horizontal="center"/>
    </xf>
    <xf numFmtId="0" fontId="28" fillId="33" borderId="34" xfId="0" applyFont="1" applyFill="1" applyBorder="1" applyAlignment="1">
      <alignment horizontal="center"/>
    </xf>
    <xf numFmtId="208" fontId="22" fillId="0" borderId="11" xfId="36" applyNumberFormat="1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74" fillId="35" borderId="35" xfId="0" applyFont="1" applyFill="1" applyBorder="1" applyAlignment="1">
      <alignment horizontal="center"/>
    </xf>
    <xf numFmtId="0" fontId="22" fillId="34" borderId="35" xfId="0" applyFont="1" applyFill="1" applyBorder="1" applyAlignment="1">
      <alignment/>
    </xf>
    <xf numFmtId="212" fontId="22" fillId="0" borderId="35" xfId="0" applyNumberFormat="1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36" xfId="0" applyFont="1" applyBorder="1" applyAlignment="1">
      <alignment horizontal="center"/>
    </xf>
    <xf numFmtId="212" fontId="22" fillId="0" borderId="36" xfId="0" applyNumberFormat="1" applyFont="1" applyBorder="1" applyAlignment="1">
      <alignment/>
    </xf>
    <xf numFmtId="0" fontId="74" fillId="35" borderId="36" xfId="0" applyFont="1" applyFill="1" applyBorder="1" applyAlignment="1">
      <alignment horizontal="center"/>
    </xf>
    <xf numFmtId="0" fontId="22" fillId="34" borderId="36" xfId="0" applyFont="1" applyFill="1" applyBorder="1" applyAlignment="1">
      <alignment/>
    </xf>
    <xf numFmtId="205" fontId="22" fillId="0" borderId="36" xfId="0" applyNumberFormat="1" applyFont="1" applyBorder="1" applyAlignment="1">
      <alignment horizontal="center"/>
    </xf>
    <xf numFmtId="0" fontId="22" fillId="0" borderId="36" xfId="0" applyFont="1" applyFill="1" applyBorder="1" applyAlignment="1">
      <alignment/>
    </xf>
    <xf numFmtId="0" fontId="22" fillId="0" borderId="36" xfId="0" applyFont="1" applyFill="1" applyBorder="1" applyAlignment="1">
      <alignment horizontal="center"/>
    </xf>
    <xf numFmtId="212" fontId="22" fillId="0" borderId="36" xfId="0" applyNumberFormat="1" applyFont="1" applyFill="1" applyBorder="1" applyAlignment="1">
      <alignment/>
    </xf>
    <xf numFmtId="205" fontId="22" fillId="0" borderId="36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vertical="center"/>
    </xf>
    <xf numFmtId="0" fontId="22" fillId="0" borderId="36" xfId="0" applyFont="1" applyBorder="1" applyAlignment="1">
      <alignment horizontal="center" vertical="center"/>
    </xf>
    <xf numFmtId="212" fontId="22" fillId="0" borderId="36" xfId="0" applyNumberFormat="1" applyFont="1" applyBorder="1" applyAlignment="1">
      <alignment vertical="center"/>
    </xf>
    <xf numFmtId="0" fontId="22" fillId="0" borderId="37" xfId="0" applyFont="1" applyBorder="1" applyAlignment="1">
      <alignment/>
    </xf>
    <xf numFmtId="0" fontId="22" fillId="0" borderId="37" xfId="0" applyFont="1" applyBorder="1" applyAlignment="1">
      <alignment horizontal="center"/>
    </xf>
    <xf numFmtId="205" fontId="22" fillId="0" borderId="37" xfId="0" applyNumberFormat="1" applyFont="1" applyBorder="1" applyAlignment="1">
      <alignment horizontal="center"/>
    </xf>
    <xf numFmtId="212" fontId="22" fillId="0" borderId="37" xfId="0" applyNumberFormat="1" applyFont="1" applyBorder="1" applyAlignment="1">
      <alignment/>
    </xf>
    <xf numFmtId="0" fontId="22" fillId="0" borderId="35" xfId="0" applyFont="1" applyBorder="1" applyAlignment="1">
      <alignment horizontal="center"/>
    </xf>
    <xf numFmtId="0" fontId="74" fillId="35" borderId="38" xfId="0" applyFont="1" applyFill="1" applyBorder="1" applyAlignment="1">
      <alignment horizontal="center"/>
    </xf>
    <xf numFmtId="0" fontId="22" fillId="34" borderId="38" xfId="0" applyFont="1" applyFill="1" applyBorder="1" applyAlignment="1">
      <alignment/>
    </xf>
    <xf numFmtId="205" fontId="22" fillId="0" borderId="38" xfId="0" applyNumberFormat="1" applyFont="1" applyBorder="1" applyAlignment="1">
      <alignment horizontal="center"/>
    </xf>
    <xf numFmtId="212" fontId="22" fillId="0" borderId="38" xfId="0" applyNumberFormat="1" applyFont="1" applyBorder="1" applyAlignment="1">
      <alignment/>
    </xf>
    <xf numFmtId="0" fontId="23" fillId="0" borderId="0" xfId="0" applyFont="1" applyFill="1" applyAlignment="1">
      <alignment horizontal="center" vertical="center"/>
    </xf>
    <xf numFmtId="0" fontId="23" fillId="8" borderId="39" xfId="0" applyFont="1" applyFill="1" applyBorder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22" fillId="0" borderId="40" xfId="0" applyFont="1" applyBorder="1" applyAlignment="1">
      <alignment horizontal="center"/>
    </xf>
    <xf numFmtId="0" fontId="13" fillId="33" borderId="41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205" fontId="13" fillId="33" borderId="41" xfId="0" applyNumberFormat="1" applyFont="1" applyFill="1" applyBorder="1" applyAlignment="1">
      <alignment horizontal="center" vertical="center"/>
    </xf>
    <xf numFmtId="212" fontId="9" fillId="33" borderId="17" xfId="0" applyNumberFormat="1" applyFont="1" applyFill="1" applyBorder="1" applyAlignment="1">
      <alignment horizontal="center" vertical="center"/>
    </xf>
    <xf numFmtId="212" fontId="9" fillId="33" borderId="16" xfId="0" applyNumberFormat="1" applyFont="1" applyFill="1" applyBorder="1" applyAlignment="1">
      <alignment horizontal="center" vertical="center"/>
    </xf>
    <xf numFmtId="212" fontId="9" fillId="33" borderId="42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212" fontId="13" fillId="33" borderId="41" xfId="0" applyNumberFormat="1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212" fontId="5" fillId="33" borderId="41" xfId="0" applyNumberFormat="1" applyFont="1" applyFill="1" applyBorder="1" applyAlignment="1">
      <alignment horizontal="center" vertical="center"/>
    </xf>
    <xf numFmtId="212" fontId="25" fillId="33" borderId="17" xfId="0" applyNumberFormat="1" applyFont="1" applyFill="1" applyBorder="1" applyAlignment="1">
      <alignment horizontal="center" vertical="center"/>
    </xf>
    <xf numFmtId="212" fontId="25" fillId="33" borderId="16" xfId="0" applyNumberFormat="1" applyFont="1" applyFill="1" applyBorder="1" applyAlignment="1">
      <alignment horizontal="center" vertical="center"/>
    </xf>
    <xf numFmtId="212" fontId="25" fillId="33" borderId="42" xfId="0" applyNumberFormat="1" applyFont="1" applyFill="1" applyBorder="1" applyAlignment="1">
      <alignment horizontal="center" vertical="center"/>
    </xf>
    <xf numFmtId="0" fontId="28" fillId="33" borderId="41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9" fillId="33" borderId="41" xfId="0" applyFont="1" applyFill="1" applyBorder="1" applyAlignment="1">
      <alignment horizontal="center" vertical="center"/>
    </xf>
    <xf numFmtId="205" fontId="28" fillId="33" borderId="41" xfId="0" applyNumberFormat="1" applyFont="1" applyFill="1" applyBorder="1" applyAlignment="1">
      <alignment horizontal="center" vertical="center"/>
    </xf>
    <xf numFmtId="212" fontId="28" fillId="33" borderId="41" xfId="0" applyNumberFormat="1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22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zoomScale="115" zoomScaleNormal="115" zoomScalePageLayoutView="0" workbookViewId="0" topLeftCell="A19">
      <selection activeCell="N30" sqref="N30"/>
    </sheetView>
  </sheetViews>
  <sheetFormatPr defaultColWidth="9.140625" defaultRowHeight="21.75"/>
  <cols>
    <col min="1" max="1" width="5.140625" style="29" customWidth="1"/>
    <col min="2" max="2" width="6.140625" style="29" customWidth="1"/>
    <col min="3" max="3" width="11.7109375" style="29" customWidth="1"/>
    <col min="4" max="4" width="6.7109375" style="29" customWidth="1"/>
    <col min="5" max="5" width="4.7109375" style="29" customWidth="1"/>
    <col min="6" max="6" width="6.7109375" style="34" customWidth="1"/>
    <col min="7" max="7" width="14.7109375" style="22" customWidth="1"/>
    <col min="8" max="8" width="8.7109375" style="30" customWidth="1"/>
    <col min="9" max="9" width="6.7109375" style="22" customWidth="1"/>
    <col min="10" max="10" width="13.7109375" style="31" customWidth="1"/>
    <col min="11" max="11" width="8.8515625" style="22" bestFit="1" customWidth="1"/>
    <col min="12" max="12" width="18.57421875" style="32" bestFit="1" customWidth="1"/>
    <col min="13" max="14" width="9.140625" style="22" customWidth="1"/>
    <col min="15" max="15" width="12.28125" style="22" bestFit="1" customWidth="1"/>
    <col min="16" max="16384" width="9.140625" style="22" customWidth="1"/>
  </cols>
  <sheetData>
    <row r="1" spans="1:12" ht="29.25">
      <c r="A1" s="293" t="s">
        <v>52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5"/>
    </row>
    <row r="2" spans="1:12" s="24" customFormat="1" ht="23.25">
      <c r="A2" s="289" t="s">
        <v>7</v>
      </c>
      <c r="B2" s="289" t="s">
        <v>0</v>
      </c>
      <c r="C2" s="289" t="s">
        <v>6</v>
      </c>
      <c r="D2" s="296" t="s">
        <v>5</v>
      </c>
      <c r="E2" s="297"/>
      <c r="F2" s="297"/>
      <c r="G2" s="299" t="s">
        <v>1</v>
      </c>
      <c r="H2" s="292" t="s">
        <v>4</v>
      </c>
      <c r="I2" s="289" t="s">
        <v>2</v>
      </c>
      <c r="J2" s="298" t="s">
        <v>3</v>
      </c>
      <c r="K2" s="23" t="s">
        <v>31</v>
      </c>
      <c r="L2" s="290" t="s">
        <v>34</v>
      </c>
    </row>
    <row r="3" spans="1:12" s="24" customFormat="1" ht="25.5">
      <c r="A3" s="289"/>
      <c r="B3" s="289"/>
      <c r="C3" s="289"/>
      <c r="D3" s="25" t="s">
        <v>8</v>
      </c>
      <c r="E3" s="26" t="s">
        <v>10</v>
      </c>
      <c r="F3" s="33" t="s">
        <v>9</v>
      </c>
      <c r="G3" s="299"/>
      <c r="H3" s="292"/>
      <c r="I3" s="289"/>
      <c r="J3" s="298"/>
      <c r="K3" s="27" t="s">
        <v>32</v>
      </c>
      <c r="L3" s="291"/>
    </row>
    <row r="4" spans="1:12" s="24" customFormat="1" ht="25.5">
      <c r="A4" s="40">
        <v>1</v>
      </c>
      <c r="B4" s="135" t="s">
        <v>11</v>
      </c>
      <c r="C4" s="40">
        <v>2020</v>
      </c>
      <c r="D4" s="40">
        <v>30</v>
      </c>
      <c r="E4" s="41">
        <v>0</v>
      </c>
      <c r="F4" s="42">
        <f>E4+D4</f>
        <v>30</v>
      </c>
      <c r="G4" s="35" t="s">
        <v>67</v>
      </c>
      <c r="H4" s="43">
        <v>0.948</v>
      </c>
      <c r="I4" s="44">
        <v>1.556</v>
      </c>
      <c r="J4" s="45">
        <f>LOG(1.295)</f>
        <v>0.11226976841727061</v>
      </c>
      <c r="K4" s="46">
        <v>6350</v>
      </c>
      <c r="L4" s="47"/>
    </row>
    <row r="5" spans="1:17" s="24" customFormat="1" ht="25.5">
      <c r="A5" s="36"/>
      <c r="B5" s="36"/>
      <c r="C5" s="36" t="s">
        <v>64</v>
      </c>
      <c r="D5" s="36">
        <v>833</v>
      </c>
      <c r="E5" s="48">
        <v>0</v>
      </c>
      <c r="F5" s="55">
        <f>E5+D5</f>
        <v>833</v>
      </c>
      <c r="G5" s="36" t="s">
        <v>65</v>
      </c>
      <c r="H5" s="37">
        <v>0.865</v>
      </c>
      <c r="I5" s="50">
        <v>1.497</v>
      </c>
      <c r="J5" s="51">
        <f>LOG(1.414)</f>
        <v>0.1504494094608806</v>
      </c>
      <c r="K5" s="52"/>
      <c r="L5" s="53"/>
      <c r="Q5" s="129"/>
    </row>
    <row r="6" spans="1:12" s="24" customFormat="1" ht="25.5">
      <c r="A6" s="36"/>
      <c r="B6" s="36"/>
      <c r="C6" s="36"/>
      <c r="D6" s="36"/>
      <c r="E6" s="48"/>
      <c r="F6" s="49"/>
      <c r="G6" s="36"/>
      <c r="H6" s="37"/>
      <c r="I6" s="50"/>
      <c r="J6" s="54"/>
      <c r="K6" s="52"/>
      <c r="L6" s="53"/>
    </row>
    <row r="7" spans="1:17" s="24" customFormat="1" ht="25.5">
      <c r="A7" s="36">
        <f>+A4+1</f>
        <v>2</v>
      </c>
      <c r="B7" s="136" t="s">
        <v>12</v>
      </c>
      <c r="C7" s="36">
        <v>2020</v>
      </c>
      <c r="D7" s="36">
        <v>25</v>
      </c>
      <c r="E7" s="48">
        <v>0</v>
      </c>
      <c r="F7" s="55">
        <f>E7+D7</f>
        <v>25</v>
      </c>
      <c r="G7" s="35" t="s">
        <v>68</v>
      </c>
      <c r="H7" s="37">
        <v>0.513</v>
      </c>
      <c r="I7" s="50">
        <v>1.528</v>
      </c>
      <c r="J7" s="51">
        <f>LOG(2.645)</f>
        <v>0.42242567637120454</v>
      </c>
      <c r="K7" s="52">
        <v>1930</v>
      </c>
      <c r="L7" s="53"/>
      <c r="Q7" s="129"/>
    </row>
    <row r="8" spans="1:12" s="24" customFormat="1" ht="25.5">
      <c r="A8" s="36"/>
      <c r="B8" s="36"/>
      <c r="C8" s="36" t="s">
        <v>66</v>
      </c>
      <c r="D8" s="36">
        <v>431</v>
      </c>
      <c r="E8" s="36">
        <v>0</v>
      </c>
      <c r="F8" s="55">
        <f>E8+D8</f>
        <v>431</v>
      </c>
      <c r="G8" s="97" t="s">
        <v>69</v>
      </c>
      <c r="H8" s="37">
        <v>0.88</v>
      </c>
      <c r="I8" s="50">
        <v>1.591</v>
      </c>
      <c r="J8" s="51">
        <f>LOG(2.761)</f>
        <v>0.4410664066392632</v>
      </c>
      <c r="K8" s="52"/>
      <c r="L8" s="53"/>
    </row>
    <row r="9" spans="1:12" s="24" customFormat="1" ht="25.5">
      <c r="A9" s="36"/>
      <c r="B9" s="36"/>
      <c r="C9" s="36"/>
      <c r="D9" s="36"/>
      <c r="E9" s="48"/>
      <c r="F9" s="49"/>
      <c r="G9" s="35"/>
      <c r="H9" s="37"/>
      <c r="I9" s="50"/>
      <c r="J9" s="51"/>
      <c r="K9" s="52"/>
      <c r="L9" s="53"/>
    </row>
    <row r="10" spans="1:12" s="24" customFormat="1" ht="25.5">
      <c r="A10" s="36">
        <f>+A7+1</f>
        <v>3</v>
      </c>
      <c r="B10" s="137" t="s">
        <v>40</v>
      </c>
      <c r="C10" s="36">
        <v>2020</v>
      </c>
      <c r="D10" s="36">
        <v>20</v>
      </c>
      <c r="E10" s="48">
        <v>0</v>
      </c>
      <c r="F10" s="49">
        <f>E10+D10</f>
        <v>20</v>
      </c>
      <c r="G10" s="35" t="s">
        <v>72</v>
      </c>
      <c r="H10" s="37">
        <v>0.958</v>
      </c>
      <c r="I10" s="50">
        <v>1.259</v>
      </c>
      <c r="J10" s="51">
        <f>LOG(1.749)</f>
        <v>0.24278980947867654</v>
      </c>
      <c r="K10" s="52">
        <v>1569</v>
      </c>
      <c r="L10" s="53"/>
    </row>
    <row r="11" spans="1:12" s="24" customFormat="1" ht="25.5">
      <c r="A11" s="36"/>
      <c r="B11" s="36"/>
      <c r="C11" s="36" t="s">
        <v>70</v>
      </c>
      <c r="D11" s="36">
        <v>387</v>
      </c>
      <c r="E11" s="36">
        <v>0</v>
      </c>
      <c r="F11" s="49">
        <f>E11+D11</f>
        <v>387</v>
      </c>
      <c r="G11" s="36" t="s">
        <v>71</v>
      </c>
      <c r="H11" s="37">
        <v>0.858</v>
      </c>
      <c r="I11" s="50">
        <v>1.369</v>
      </c>
      <c r="J11" s="51">
        <f>LOG(1.178)</f>
        <v>0.07114529045108281</v>
      </c>
      <c r="K11" s="52"/>
      <c r="L11" s="53"/>
    </row>
    <row r="12" spans="1:12" s="24" customFormat="1" ht="25.5">
      <c r="A12" s="36"/>
      <c r="B12" s="36"/>
      <c r="C12" s="36"/>
      <c r="D12" s="36"/>
      <c r="E12" s="48"/>
      <c r="F12" s="49"/>
      <c r="G12" s="36"/>
      <c r="H12" s="37"/>
      <c r="I12" s="50"/>
      <c r="J12" s="51"/>
      <c r="K12" s="52"/>
      <c r="L12" s="53"/>
    </row>
    <row r="13" spans="1:12" s="24" customFormat="1" ht="25.5">
      <c r="A13" s="36">
        <f>+A10+1</f>
        <v>4</v>
      </c>
      <c r="B13" s="136" t="s">
        <v>35</v>
      </c>
      <c r="C13" s="36">
        <v>2020</v>
      </c>
      <c r="D13" s="36">
        <v>26</v>
      </c>
      <c r="E13" s="48">
        <v>0</v>
      </c>
      <c r="F13" s="49">
        <f>E13+D13</f>
        <v>26</v>
      </c>
      <c r="G13" s="35" t="s">
        <v>74</v>
      </c>
      <c r="H13" s="37">
        <v>0.94</v>
      </c>
      <c r="I13" s="50">
        <v>1.65</v>
      </c>
      <c r="J13" s="51">
        <f>LOG(3.07)</f>
        <v>0.48713837547718647</v>
      </c>
      <c r="K13" s="52">
        <v>452</v>
      </c>
      <c r="L13" s="53"/>
    </row>
    <row r="14" spans="1:12" s="24" customFormat="1" ht="25.5">
      <c r="A14" s="36"/>
      <c r="B14" s="36"/>
      <c r="C14" s="36" t="s">
        <v>73</v>
      </c>
      <c r="D14" s="36">
        <v>586</v>
      </c>
      <c r="E14" s="48">
        <v>0</v>
      </c>
      <c r="F14" s="49">
        <f>E14+D14</f>
        <v>586</v>
      </c>
      <c r="G14" s="36" t="s">
        <v>75</v>
      </c>
      <c r="H14" s="37">
        <v>0.76</v>
      </c>
      <c r="I14" s="50">
        <v>1.392</v>
      </c>
      <c r="J14" s="51">
        <f>LOG(4.168)</f>
        <v>0.6199277102914681</v>
      </c>
      <c r="K14" s="52"/>
      <c r="L14" s="53"/>
    </row>
    <row r="15" spans="1:12" s="24" customFormat="1" ht="25.5">
      <c r="A15" s="36"/>
      <c r="B15" s="36"/>
      <c r="C15" s="36"/>
      <c r="D15" s="36"/>
      <c r="E15" s="48"/>
      <c r="F15" s="49"/>
      <c r="G15" s="36"/>
      <c r="H15" s="37"/>
      <c r="I15" s="50"/>
      <c r="J15" s="51"/>
      <c r="K15" s="52"/>
      <c r="L15" s="53"/>
    </row>
    <row r="16" spans="1:12" s="24" customFormat="1" ht="25.5">
      <c r="A16" s="36">
        <f>+A13+1</f>
        <v>5</v>
      </c>
      <c r="B16" s="136" t="s">
        <v>22</v>
      </c>
      <c r="C16" s="36">
        <v>2020</v>
      </c>
      <c r="D16" s="36">
        <v>24</v>
      </c>
      <c r="E16" s="48">
        <v>0</v>
      </c>
      <c r="F16" s="49">
        <f>E16+D16</f>
        <v>24</v>
      </c>
      <c r="G16" s="35" t="s">
        <v>77</v>
      </c>
      <c r="H16" s="37">
        <v>0.798</v>
      </c>
      <c r="I16" s="50">
        <v>1.494</v>
      </c>
      <c r="J16" s="51">
        <f>LOG(4.027)</f>
        <v>0.6049816296074316</v>
      </c>
      <c r="K16" s="52">
        <v>546</v>
      </c>
      <c r="L16" s="53"/>
    </row>
    <row r="17" spans="1:12" s="24" customFormat="1" ht="25.5">
      <c r="A17" s="36"/>
      <c r="B17" s="36"/>
      <c r="C17" s="36" t="s">
        <v>76</v>
      </c>
      <c r="D17" s="36">
        <v>583</v>
      </c>
      <c r="E17" s="48">
        <v>0</v>
      </c>
      <c r="F17" s="49">
        <f>E17+D17</f>
        <v>583</v>
      </c>
      <c r="G17" s="36" t="s">
        <v>75</v>
      </c>
      <c r="H17" s="37">
        <v>0.889</v>
      </c>
      <c r="I17" s="50">
        <v>1.392</v>
      </c>
      <c r="J17" s="51">
        <f>LOG(4.168)</f>
        <v>0.6199277102914681</v>
      </c>
      <c r="K17" s="52"/>
      <c r="L17" s="53"/>
    </row>
    <row r="18" spans="1:12" s="24" customFormat="1" ht="25.5">
      <c r="A18" s="36"/>
      <c r="B18" s="36"/>
      <c r="C18" s="36"/>
      <c r="D18" s="36"/>
      <c r="E18" s="48"/>
      <c r="F18" s="49"/>
      <c r="G18" s="36"/>
      <c r="H18" s="37"/>
      <c r="I18" s="50"/>
      <c r="J18" s="51"/>
      <c r="K18" s="52"/>
      <c r="L18" s="53"/>
    </row>
    <row r="19" spans="1:12" s="24" customFormat="1" ht="25.5">
      <c r="A19" s="36">
        <f>+A16+1</f>
        <v>6</v>
      </c>
      <c r="B19" s="136" t="s">
        <v>41</v>
      </c>
      <c r="C19" s="36">
        <v>2020</v>
      </c>
      <c r="D19" s="96">
        <v>23</v>
      </c>
      <c r="E19" s="48">
        <v>0</v>
      </c>
      <c r="F19" s="49">
        <f aca="true" t="shared" si="0" ref="F19:F26">E19+D19</f>
        <v>23</v>
      </c>
      <c r="G19" s="35" t="s">
        <v>78</v>
      </c>
      <c r="H19" s="37">
        <v>0.758</v>
      </c>
      <c r="I19" s="50">
        <v>1.486</v>
      </c>
      <c r="J19" s="51">
        <f>LOG(2.162)</f>
        <v>0.3348556896172915</v>
      </c>
      <c r="K19" s="52">
        <v>5323</v>
      </c>
      <c r="L19" s="53"/>
    </row>
    <row r="20" spans="1:12" s="24" customFormat="1" ht="25.5">
      <c r="A20" s="36"/>
      <c r="B20" s="36"/>
      <c r="C20" s="36" t="s">
        <v>70</v>
      </c>
      <c r="D20" s="36">
        <v>452</v>
      </c>
      <c r="E20" s="48">
        <v>0</v>
      </c>
      <c r="F20" s="49">
        <f t="shared" si="0"/>
        <v>452</v>
      </c>
      <c r="G20" s="36" t="s">
        <v>79</v>
      </c>
      <c r="H20" s="37">
        <v>0.875</v>
      </c>
      <c r="I20" s="50">
        <v>1.525</v>
      </c>
      <c r="J20" s="51">
        <f>LOG(85.987)</f>
        <v>1.934432797115343</v>
      </c>
      <c r="K20" s="52"/>
      <c r="L20" s="53"/>
    </row>
    <row r="21" spans="1:12" s="24" customFormat="1" ht="25.5">
      <c r="A21" s="36"/>
      <c r="B21" s="36"/>
      <c r="C21" s="36"/>
      <c r="D21" s="36"/>
      <c r="E21" s="48"/>
      <c r="F21" s="49"/>
      <c r="G21" s="36"/>
      <c r="H21" s="37"/>
      <c r="I21" s="50"/>
      <c r="J21" s="51"/>
      <c r="K21" s="52"/>
      <c r="L21" s="53"/>
    </row>
    <row r="22" spans="1:12" s="24" customFormat="1" ht="25.5">
      <c r="A22" s="36">
        <v>7</v>
      </c>
      <c r="B22" s="136" t="s">
        <v>37</v>
      </c>
      <c r="C22" s="36">
        <v>2020</v>
      </c>
      <c r="D22" s="36">
        <v>15</v>
      </c>
      <c r="E22" s="48">
        <v>0</v>
      </c>
      <c r="F22" s="49">
        <f t="shared" si="0"/>
        <v>15</v>
      </c>
      <c r="G22" s="35" t="s">
        <v>80</v>
      </c>
      <c r="H22" s="37">
        <v>0.918</v>
      </c>
      <c r="I22" s="50">
        <v>1.665</v>
      </c>
      <c r="J22" s="51">
        <f>LOG(1.665)</f>
        <v>0.22141423784233868</v>
      </c>
      <c r="K22" s="52">
        <v>14814</v>
      </c>
      <c r="L22" s="53"/>
    </row>
    <row r="23" spans="1:12" s="24" customFormat="1" ht="25.5">
      <c r="A23" s="36"/>
      <c r="B23" s="36"/>
      <c r="C23" s="36" t="s">
        <v>73</v>
      </c>
      <c r="D23" s="36">
        <v>396</v>
      </c>
      <c r="E23" s="48">
        <v>0</v>
      </c>
      <c r="F23" s="49">
        <f t="shared" si="0"/>
        <v>396</v>
      </c>
      <c r="G23" s="36" t="s">
        <v>81</v>
      </c>
      <c r="H23" s="37">
        <v>0.89</v>
      </c>
      <c r="I23" s="50">
        <v>1.363</v>
      </c>
      <c r="J23" s="51">
        <f>LOG(1.363)</f>
        <v>0.13449585583467355</v>
      </c>
      <c r="K23" s="52"/>
      <c r="L23" s="53"/>
    </row>
    <row r="24" spans="1:12" s="24" customFormat="1" ht="25.5">
      <c r="A24" s="36"/>
      <c r="B24" s="36"/>
      <c r="C24" s="36"/>
      <c r="D24" s="36"/>
      <c r="E24" s="48"/>
      <c r="F24" s="49"/>
      <c r="G24" s="36"/>
      <c r="H24" s="37"/>
      <c r="I24" s="50"/>
      <c r="J24" s="51"/>
      <c r="K24" s="52"/>
      <c r="L24" s="53"/>
    </row>
    <row r="25" spans="1:12" s="24" customFormat="1" ht="25.5">
      <c r="A25" s="36">
        <v>8</v>
      </c>
      <c r="B25" s="136" t="s">
        <v>57</v>
      </c>
      <c r="C25" s="36">
        <v>2020</v>
      </c>
      <c r="D25" s="36">
        <v>15</v>
      </c>
      <c r="E25" s="48">
        <v>0</v>
      </c>
      <c r="F25" s="49">
        <f t="shared" si="0"/>
        <v>15</v>
      </c>
      <c r="G25" s="132" t="s">
        <v>83</v>
      </c>
      <c r="H25" s="37">
        <v>0.901</v>
      </c>
      <c r="I25" s="50">
        <v>1.705</v>
      </c>
      <c r="J25" s="51">
        <f>LOG(0.173)</f>
        <v>-0.7619538968712046</v>
      </c>
      <c r="K25" s="52">
        <v>14814</v>
      </c>
      <c r="L25" s="53"/>
    </row>
    <row r="26" spans="1:12" s="24" customFormat="1" ht="25.5">
      <c r="A26" s="36"/>
      <c r="B26" s="36"/>
      <c r="C26" s="36" t="s">
        <v>82</v>
      </c>
      <c r="D26" s="36">
        <v>191</v>
      </c>
      <c r="E26" s="48">
        <v>0</v>
      </c>
      <c r="F26" s="49">
        <f t="shared" si="0"/>
        <v>191</v>
      </c>
      <c r="G26" s="36" t="s">
        <v>84</v>
      </c>
      <c r="H26" s="37">
        <v>0.904</v>
      </c>
      <c r="I26" s="50">
        <v>1.289</v>
      </c>
      <c r="J26" s="51">
        <f>LOG(1.289)</f>
        <v>0.110252917353403</v>
      </c>
      <c r="K26" s="52"/>
      <c r="L26" s="53"/>
    </row>
    <row r="27" spans="1:12" s="24" customFormat="1" ht="25.5">
      <c r="A27" s="36"/>
      <c r="B27" s="36"/>
      <c r="C27" s="36"/>
      <c r="D27" s="36"/>
      <c r="E27" s="48"/>
      <c r="F27" s="49"/>
      <c r="G27" s="36"/>
      <c r="H27" s="37"/>
      <c r="I27" s="50"/>
      <c r="J27" s="51"/>
      <c r="K27" s="52"/>
      <c r="L27" s="53"/>
    </row>
    <row r="28" spans="1:12" s="24" customFormat="1" ht="25.5">
      <c r="A28" s="36">
        <v>9</v>
      </c>
      <c r="B28" s="136" t="s">
        <v>38</v>
      </c>
      <c r="C28" s="36">
        <v>2020</v>
      </c>
      <c r="D28" s="36">
        <v>24</v>
      </c>
      <c r="E28" s="48">
        <v>0</v>
      </c>
      <c r="F28" s="49">
        <f>E28+D28</f>
        <v>24</v>
      </c>
      <c r="G28" s="35" t="s">
        <v>85</v>
      </c>
      <c r="H28" s="37">
        <v>0.65</v>
      </c>
      <c r="I28" s="50">
        <v>1.564</v>
      </c>
      <c r="J28" s="51">
        <f>LOG(1.44)</f>
        <v>0.15836249209524964</v>
      </c>
      <c r="K28" s="52">
        <v>3088</v>
      </c>
      <c r="L28" s="53"/>
    </row>
    <row r="29" spans="1:14" s="24" customFormat="1" ht="25.5">
      <c r="A29" s="36"/>
      <c r="B29" s="36"/>
      <c r="C29" s="36" t="s">
        <v>73</v>
      </c>
      <c r="D29" s="36">
        <v>577</v>
      </c>
      <c r="E29" s="48">
        <v>0</v>
      </c>
      <c r="F29" s="49">
        <f>E29+D29</f>
        <v>577</v>
      </c>
      <c r="G29" s="36" t="s">
        <v>86</v>
      </c>
      <c r="H29" s="37">
        <v>0.582</v>
      </c>
      <c r="I29" s="50">
        <v>1.602</v>
      </c>
      <c r="J29" s="51">
        <f>LOG(0.936)</f>
        <v>-0.028724151261894745</v>
      </c>
      <c r="K29" s="52"/>
      <c r="L29" s="53"/>
      <c r="N29" s="24" t="s">
        <v>56</v>
      </c>
    </row>
    <row r="30" spans="1:12" s="24" customFormat="1" ht="25.5">
      <c r="A30" s="36"/>
      <c r="B30" s="36"/>
      <c r="C30" s="36"/>
      <c r="D30" s="36"/>
      <c r="E30" s="48"/>
      <c r="F30" s="49"/>
      <c r="G30" s="36"/>
      <c r="H30" s="37"/>
      <c r="I30" s="50"/>
      <c r="J30" s="51"/>
      <c r="K30" s="52"/>
      <c r="L30" s="53"/>
    </row>
    <row r="31" spans="1:12" s="24" customFormat="1" ht="25.5">
      <c r="A31" s="36">
        <v>10</v>
      </c>
      <c r="B31" s="136" t="s">
        <v>39</v>
      </c>
      <c r="C31" s="36">
        <v>2020</v>
      </c>
      <c r="D31" s="36">
        <v>18</v>
      </c>
      <c r="E31" s="48">
        <v>0</v>
      </c>
      <c r="F31" s="49">
        <f>E31+D31</f>
        <v>18</v>
      </c>
      <c r="G31" s="35" t="s">
        <v>87</v>
      </c>
      <c r="H31" s="37">
        <v>0.927</v>
      </c>
      <c r="I31" s="50">
        <v>1.723</v>
      </c>
      <c r="J31" s="51">
        <f>LOG(0.633)</f>
        <v>-0.1985962899826449</v>
      </c>
      <c r="K31" s="52">
        <v>1544</v>
      </c>
      <c r="L31" s="56"/>
    </row>
    <row r="32" spans="1:12" s="24" customFormat="1" ht="25.5">
      <c r="A32" s="36"/>
      <c r="B32" s="36"/>
      <c r="C32" s="36" t="s">
        <v>73</v>
      </c>
      <c r="D32" s="36">
        <v>543</v>
      </c>
      <c r="E32" s="48">
        <v>0</v>
      </c>
      <c r="F32" s="49">
        <f>E32+D32</f>
        <v>543</v>
      </c>
      <c r="G32" s="36" t="s">
        <v>88</v>
      </c>
      <c r="H32" s="37">
        <v>0.858</v>
      </c>
      <c r="I32" s="50">
        <v>0.858</v>
      </c>
      <c r="J32" s="51">
        <f>LOG(2.236)</f>
        <v>0.3494717992143857</v>
      </c>
      <c r="K32" s="52"/>
      <c r="L32" s="56"/>
    </row>
    <row r="33" spans="1:12" s="24" customFormat="1" ht="25.5">
      <c r="A33" s="36"/>
      <c r="B33" s="36"/>
      <c r="C33" s="36"/>
      <c r="D33" s="36"/>
      <c r="E33" s="48"/>
      <c r="F33" s="49"/>
      <c r="G33" s="36"/>
      <c r="H33" s="37"/>
      <c r="I33" s="50"/>
      <c r="J33" s="51"/>
      <c r="K33" s="52"/>
      <c r="L33" s="56"/>
    </row>
    <row r="34" spans="1:12" s="24" customFormat="1" ht="25.5">
      <c r="A34" s="36">
        <v>11</v>
      </c>
      <c r="B34" s="137" t="s">
        <v>23</v>
      </c>
      <c r="C34" s="36">
        <v>2020</v>
      </c>
      <c r="D34" s="36">
        <v>17</v>
      </c>
      <c r="E34" s="48">
        <v>0</v>
      </c>
      <c r="F34" s="49">
        <f>E34+D34</f>
        <v>17</v>
      </c>
      <c r="G34" s="35" t="s">
        <v>90</v>
      </c>
      <c r="H34" s="37">
        <v>0.905</v>
      </c>
      <c r="I34" s="50">
        <v>1.648</v>
      </c>
      <c r="J34" s="51">
        <f>LOG(4.318)</f>
        <v>0.6352826379982119</v>
      </c>
      <c r="K34" s="52">
        <v>550</v>
      </c>
      <c r="L34" s="56"/>
    </row>
    <row r="35" spans="1:12" s="24" customFormat="1" ht="25.5">
      <c r="A35" s="36"/>
      <c r="B35" s="36"/>
      <c r="C35" s="36" t="s">
        <v>76</v>
      </c>
      <c r="D35" s="36">
        <v>527</v>
      </c>
      <c r="E35" s="48">
        <v>0</v>
      </c>
      <c r="F35" s="49">
        <f>E35+D35</f>
        <v>527</v>
      </c>
      <c r="G35" s="36" t="s">
        <v>91</v>
      </c>
      <c r="H35" s="37">
        <v>0.653</v>
      </c>
      <c r="I35" s="50">
        <v>1.213</v>
      </c>
      <c r="J35" s="51">
        <f>LOG(2.215)</f>
        <v>0.3453737305590883</v>
      </c>
      <c r="K35" s="52"/>
      <c r="L35" s="56"/>
    </row>
    <row r="36" spans="1:12" s="24" customFormat="1" ht="25.5">
      <c r="A36" s="36"/>
      <c r="B36" s="36"/>
      <c r="C36" s="36"/>
      <c r="D36" s="36"/>
      <c r="E36" s="48"/>
      <c r="F36" s="49"/>
      <c r="G36" s="36"/>
      <c r="H36" s="37"/>
      <c r="I36" s="50"/>
      <c r="J36" s="51"/>
      <c r="K36" s="52"/>
      <c r="L36" s="56"/>
    </row>
    <row r="37" spans="1:12" s="24" customFormat="1" ht="25.5">
      <c r="A37" s="36">
        <f>+A34+1</f>
        <v>12</v>
      </c>
      <c r="B37" s="136" t="s">
        <v>42</v>
      </c>
      <c r="C37" s="36">
        <v>2020</v>
      </c>
      <c r="D37" s="36">
        <v>12</v>
      </c>
      <c r="E37" s="48">
        <v>0</v>
      </c>
      <c r="F37" s="49">
        <f>E37+D37</f>
        <v>12</v>
      </c>
      <c r="G37" s="35" t="s">
        <v>92</v>
      </c>
      <c r="H37" s="37">
        <v>0.804</v>
      </c>
      <c r="I37" s="50">
        <v>1.234</v>
      </c>
      <c r="J37" s="51">
        <f>LOG(7.064)</f>
        <v>0.8490506905695122</v>
      </c>
      <c r="K37" s="52">
        <v>136</v>
      </c>
      <c r="L37" s="56"/>
    </row>
    <row r="38" spans="1:12" s="24" customFormat="1" ht="25.5">
      <c r="A38" s="80"/>
      <c r="B38" s="80"/>
      <c r="C38" s="80" t="s">
        <v>89</v>
      </c>
      <c r="D38" s="80">
        <v>426</v>
      </c>
      <c r="E38" s="81">
        <v>0</v>
      </c>
      <c r="F38" s="82">
        <f>E38+D38</f>
        <v>426</v>
      </c>
      <c r="G38" s="80" t="s">
        <v>93</v>
      </c>
      <c r="H38" s="83">
        <v>0.597</v>
      </c>
      <c r="I38" s="84">
        <v>1.503</v>
      </c>
      <c r="J38" s="54">
        <f>LOG(1.995)</f>
        <v>0.2999429000227671</v>
      </c>
      <c r="K38" s="85"/>
      <c r="L38" s="86"/>
    </row>
    <row r="39" spans="1:12" s="24" customFormat="1" ht="25.5">
      <c r="A39" s="36"/>
      <c r="B39" s="36"/>
      <c r="C39" s="36"/>
      <c r="D39" s="36"/>
      <c r="E39" s="48"/>
      <c r="F39" s="49"/>
      <c r="G39" s="36"/>
      <c r="H39" s="37"/>
      <c r="I39" s="50"/>
      <c r="J39" s="51"/>
      <c r="K39" s="52"/>
      <c r="L39" s="56"/>
    </row>
    <row r="40" spans="1:12" s="24" customFormat="1" ht="25.5">
      <c r="A40" s="87">
        <f>+A37+1</f>
        <v>13</v>
      </c>
      <c r="B40" s="138" t="s">
        <v>43</v>
      </c>
      <c r="C40" s="87">
        <v>2020</v>
      </c>
      <c r="D40" s="87">
        <v>20</v>
      </c>
      <c r="E40" s="88">
        <v>0</v>
      </c>
      <c r="F40" s="89">
        <f>E40+D40</f>
        <v>20</v>
      </c>
      <c r="G40" s="95" t="s">
        <v>94</v>
      </c>
      <c r="H40" s="90">
        <v>0.83</v>
      </c>
      <c r="I40" s="91">
        <v>1.646</v>
      </c>
      <c r="J40" s="92">
        <f>LOG(5.9)</f>
        <v>0.7708520116421442</v>
      </c>
      <c r="K40" s="93">
        <v>129</v>
      </c>
      <c r="L40" s="94"/>
    </row>
    <row r="41" spans="1:12" s="24" customFormat="1" ht="25.5">
      <c r="A41" s="36"/>
      <c r="B41" s="36"/>
      <c r="C41" s="36" t="s">
        <v>89</v>
      </c>
      <c r="D41" s="36">
        <v>438</v>
      </c>
      <c r="E41" s="48">
        <v>0</v>
      </c>
      <c r="F41" s="49">
        <f>E41+D41</f>
        <v>438</v>
      </c>
      <c r="G41" s="36" t="s">
        <v>95</v>
      </c>
      <c r="H41" s="37">
        <v>0.732</v>
      </c>
      <c r="I41" s="50">
        <v>1.514</v>
      </c>
      <c r="J41" s="51">
        <f>LOG(2.136)</f>
        <v>0.32960124835651883</v>
      </c>
      <c r="K41" s="52"/>
      <c r="L41" s="56"/>
    </row>
    <row r="42" spans="1:12" s="24" customFormat="1" ht="25.5">
      <c r="A42" s="36"/>
      <c r="B42" s="36"/>
      <c r="C42" s="36"/>
      <c r="D42" s="36"/>
      <c r="E42" s="48"/>
      <c r="F42" s="49"/>
      <c r="G42" s="36"/>
      <c r="H42" s="37"/>
      <c r="I42" s="50"/>
      <c r="J42" s="51"/>
      <c r="K42" s="52"/>
      <c r="L42" s="56"/>
    </row>
    <row r="43" spans="1:12" s="24" customFormat="1" ht="25.5">
      <c r="A43" s="36">
        <f>+A40+1</f>
        <v>14</v>
      </c>
      <c r="B43" s="136" t="s">
        <v>44</v>
      </c>
      <c r="C43" s="36">
        <v>2020</v>
      </c>
      <c r="D43" s="36">
        <v>24</v>
      </c>
      <c r="E43" s="48">
        <v>0</v>
      </c>
      <c r="F43" s="49">
        <f>E43+D43</f>
        <v>24</v>
      </c>
      <c r="G43" s="35" t="s">
        <v>96</v>
      </c>
      <c r="H43" s="37">
        <v>0.775</v>
      </c>
      <c r="I43" s="50">
        <v>2.399</v>
      </c>
      <c r="J43" s="51">
        <f>LOG(0.61)</f>
        <v>-0.21467016498923297</v>
      </c>
      <c r="K43" s="52">
        <v>389</v>
      </c>
      <c r="L43" s="56"/>
    </row>
    <row r="44" spans="1:12" s="24" customFormat="1" ht="25.5">
      <c r="A44" s="36"/>
      <c r="B44" s="36"/>
      <c r="C44" s="36" t="s">
        <v>89</v>
      </c>
      <c r="D44" s="36">
        <v>494</v>
      </c>
      <c r="E44" s="48">
        <v>0</v>
      </c>
      <c r="F44" s="49">
        <f>E44+D44</f>
        <v>494</v>
      </c>
      <c r="G44" s="36" t="s">
        <v>97</v>
      </c>
      <c r="H44" s="37">
        <v>0.583</v>
      </c>
      <c r="I44" s="50">
        <v>1.612</v>
      </c>
      <c r="J44" s="51">
        <f>LOG(1.493)</f>
        <v>0.17405980772502544</v>
      </c>
      <c r="K44" s="52"/>
      <c r="L44" s="56"/>
    </row>
    <row r="45" spans="1:12" s="24" customFormat="1" ht="25.5">
      <c r="A45" s="36"/>
      <c r="B45" s="36"/>
      <c r="C45" s="36"/>
      <c r="D45" s="36"/>
      <c r="E45" s="48"/>
      <c r="F45" s="49"/>
      <c r="G45" s="36"/>
      <c r="H45" s="37"/>
      <c r="I45" s="50"/>
      <c r="J45" s="51"/>
      <c r="K45" s="52"/>
      <c r="L45" s="56"/>
    </row>
    <row r="46" spans="1:12" s="24" customFormat="1" ht="25.5">
      <c r="A46" s="36">
        <f>+A43+1</f>
        <v>15</v>
      </c>
      <c r="B46" s="136" t="s">
        <v>45</v>
      </c>
      <c r="C46" s="36">
        <v>2020</v>
      </c>
      <c r="D46" s="36">
        <v>24</v>
      </c>
      <c r="E46" s="48">
        <v>0</v>
      </c>
      <c r="F46" s="49">
        <f>E46+D46</f>
        <v>24</v>
      </c>
      <c r="G46" s="35" t="s">
        <v>100</v>
      </c>
      <c r="H46" s="37">
        <v>0.905</v>
      </c>
      <c r="I46" s="50">
        <v>2.03</v>
      </c>
      <c r="J46" s="51">
        <f>LOG(1.628)</f>
        <v>0.2116544005531824</v>
      </c>
      <c r="K46" s="52">
        <v>491</v>
      </c>
      <c r="L46" s="56"/>
    </row>
    <row r="47" spans="1:12" s="24" customFormat="1" ht="25.5">
      <c r="A47" s="36"/>
      <c r="B47" s="36"/>
      <c r="C47" s="36" t="s">
        <v>98</v>
      </c>
      <c r="D47" s="36">
        <v>501</v>
      </c>
      <c r="E47" s="48">
        <v>0</v>
      </c>
      <c r="F47" s="49">
        <f>E47+D47</f>
        <v>501</v>
      </c>
      <c r="G47" s="36" t="s">
        <v>101</v>
      </c>
      <c r="H47" s="37">
        <v>0.569</v>
      </c>
      <c r="I47" s="50">
        <v>1.347</v>
      </c>
      <c r="J47" s="51">
        <f>LOG(3.04)</f>
        <v>0.48287358360875376</v>
      </c>
      <c r="K47" s="52"/>
      <c r="L47" s="56"/>
    </row>
    <row r="48" spans="1:12" s="24" customFormat="1" ht="25.5">
      <c r="A48" s="36"/>
      <c r="B48" s="36"/>
      <c r="C48" s="36"/>
      <c r="D48" s="36"/>
      <c r="E48" s="48"/>
      <c r="F48" s="49"/>
      <c r="G48" s="36"/>
      <c r="H48" s="37"/>
      <c r="I48" s="50"/>
      <c r="J48" s="51"/>
      <c r="K48" s="52"/>
      <c r="L48" s="56"/>
    </row>
    <row r="49" spans="1:12" s="24" customFormat="1" ht="25.5">
      <c r="A49" s="36">
        <v>16</v>
      </c>
      <c r="B49" s="136" t="s">
        <v>58</v>
      </c>
      <c r="C49" s="36">
        <v>2020</v>
      </c>
      <c r="D49" s="36">
        <v>27</v>
      </c>
      <c r="E49" s="48">
        <v>0</v>
      </c>
      <c r="F49" s="49">
        <f>E49+D49</f>
        <v>27</v>
      </c>
      <c r="G49" s="35" t="s">
        <v>102</v>
      </c>
      <c r="H49" s="37">
        <v>0.833</v>
      </c>
      <c r="I49" s="50">
        <v>2.348</v>
      </c>
      <c r="J49" s="51">
        <f>LOG(0.65)</f>
        <v>-0.18708664335714442</v>
      </c>
      <c r="K49" s="52">
        <v>1653</v>
      </c>
      <c r="L49" s="56"/>
    </row>
    <row r="50" spans="1:12" s="24" customFormat="1" ht="25.5">
      <c r="A50" s="36"/>
      <c r="B50" s="36"/>
      <c r="C50" s="36" t="s">
        <v>99</v>
      </c>
      <c r="D50" s="36">
        <v>226</v>
      </c>
      <c r="E50" s="48">
        <v>0</v>
      </c>
      <c r="F50" s="49">
        <f>E50+D50</f>
        <v>226</v>
      </c>
      <c r="G50" s="36" t="s">
        <v>103</v>
      </c>
      <c r="H50" s="37">
        <v>0.812</v>
      </c>
      <c r="I50" s="50">
        <v>2.12</v>
      </c>
      <c r="J50" s="51">
        <f>LOG(0.549)</f>
        <v>-0.26042765554990804</v>
      </c>
      <c r="K50" s="52"/>
      <c r="L50" s="56"/>
    </row>
    <row r="51" spans="1:12" s="24" customFormat="1" ht="25.5">
      <c r="A51" s="36"/>
      <c r="C51" s="36"/>
      <c r="D51" s="36"/>
      <c r="E51" s="48"/>
      <c r="F51" s="49"/>
      <c r="G51" s="36"/>
      <c r="H51" s="37"/>
      <c r="I51" s="50"/>
      <c r="J51" s="51"/>
      <c r="K51" s="52"/>
      <c r="L51" s="56"/>
    </row>
    <row r="52" spans="1:12" s="24" customFormat="1" ht="25.5">
      <c r="A52" s="36">
        <v>17</v>
      </c>
      <c r="B52" s="136" t="s">
        <v>59</v>
      </c>
      <c r="C52" s="36">
        <v>2020</v>
      </c>
      <c r="D52" s="36">
        <v>26</v>
      </c>
      <c r="E52" s="48">
        <v>0</v>
      </c>
      <c r="F52" s="49">
        <f aca="true" t="shared" si="1" ref="F52:F59">E52+D52</f>
        <v>26</v>
      </c>
      <c r="G52" s="132" t="s">
        <v>104</v>
      </c>
      <c r="H52" s="37">
        <v>0.818</v>
      </c>
      <c r="I52" s="50">
        <v>2.215</v>
      </c>
      <c r="J52" s="51">
        <f>LOG(0.345)</f>
        <v>-0.4621809049267259</v>
      </c>
      <c r="K52" s="52">
        <v>1723</v>
      </c>
      <c r="L52" s="56"/>
    </row>
    <row r="53" spans="1:12" s="24" customFormat="1" ht="25.5">
      <c r="A53" s="36"/>
      <c r="B53" s="36"/>
      <c r="C53" s="36" t="s">
        <v>82</v>
      </c>
      <c r="D53" s="36">
        <v>200</v>
      </c>
      <c r="E53" s="48">
        <v>0</v>
      </c>
      <c r="F53" s="49">
        <f t="shared" si="1"/>
        <v>200</v>
      </c>
      <c r="G53" s="36" t="s">
        <v>105</v>
      </c>
      <c r="H53" s="37">
        <v>0.749</v>
      </c>
      <c r="I53" s="50">
        <v>1.988</v>
      </c>
      <c r="J53" s="51">
        <f>LOG(0.557)</f>
        <v>-0.25414480482627105</v>
      </c>
      <c r="K53" s="52"/>
      <c r="L53" s="56"/>
    </row>
    <row r="54" spans="1:12" s="24" customFormat="1" ht="25.5">
      <c r="A54" s="36"/>
      <c r="B54" s="36"/>
      <c r="C54" s="36"/>
      <c r="D54" s="36"/>
      <c r="E54" s="48"/>
      <c r="F54" s="49"/>
      <c r="G54" s="36"/>
      <c r="H54" s="37"/>
      <c r="I54" s="50"/>
      <c r="J54" s="51"/>
      <c r="K54" s="52"/>
      <c r="L54" s="56"/>
    </row>
    <row r="55" spans="1:12" s="24" customFormat="1" ht="25.5">
      <c r="A55" s="36">
        <v>18</v>
      </c>
      <c r="B55" s="137" t="s">
        <v>46</v>
      </c>
      <c r="C55" s="96">
        <v>2020</v>
      </c>
      <c r="D55" s="36">
        <v>25</v>
      </c>
      <c r="E55" s="48">
        <v>0</v>
      </c>
      <c r="F55" s="49">
        <f t="shared" si="1"/>
        <v>25</v>
      </c>
      <c r="G55" s="35" t="s">
        <v>107</v>
      </c>
      <c r="H55" s="37">
        <v>0.718</v>
      </c>
      <c r="I55" s="50">
        <v>0.714</v>
      </c>
      <c r="J55" s="51">
        <f>LOG(0.514)</f>
        <v>-0.28903688100472424</v>
      </c>
      <c r="K55" s="52">
        <v>3478</v>
      </c>
      <c r="L55" s="56"/>
    </row>
    <row r="56" spans="1:12" s="24" customFormat="1" ht="25.5">
      <c r="A56" s="36"/>
      <c r="B56" s="36"/>
      <c r="C56" s="36" t="s">
        <v>106</v>
      </c>
      <c r="D56" s="36">
        <v>421</v>
      </c>
      <c r="E56" s="48">
        <v>0</v>
      </c>
      <c r="F56" s="49">
        <f t="shared" si="1"/>
        <v>421</v>
      </c>
      <c r="G56" s="97" t="s">
        <v>108</v>
      </c>
      <c r="H56" s="37">
        <v>0.837</v>
      </c>
      <c r="I56" s="50">
        <v>1.615</v>
      </c>
      <c r="J56" s="51">
        <f>LOG(0.819)</f>
        <v>-0.08671609823958155</v>
      </c>
      <c r="K56" s="52"/>
      <c r="L56" s="56"/>
    </row>
    <row r="57" spans="1:12" s="24" customFormat="1" ht="25.5">
      <c r="A57" s="36"/>
      <c r="B57" s="36"/>
      <c r="C57" s="36"/>
      <c r="D57" s="36"/>
      <c r="E57" s="48"/>
      <c r="F57" s="49"/>
      <c r="G57" s="36"/>
      <c r="H57" s="37"/>
      <c r="I57" s="50"/>
      <c r="J57" s="51"/>
      <c r="K57" s="52"/>
      <c r="L57" s="56"/>
    </row>
    <row r="58" spans="1:12" s="24" customFormat="1" ht="25.5">
      <c r="A58" s="36">
        <f>+A55+1</f>
        <v>19</v>
      </c>
      <c r="B58" s="137" t="s">
        <v>16</v>
      </c>
      <c r="C58" s="96">
        <v>2020</v>
      </c>
      <c r="D58" s="36">
        <v>22</v>
      </c>
      <c r="E58" s="48">
        <v>0</v>
      </c>
      <c r="F58" s="49">
        <f t="shared" si="1"/>
        <v>22</v>
      </c>
      <c r="G58" s="35" t="s">
        <v>109</v>
      </c>
      <c r="H58" s="37">
        <v>0.942</v>
      </c>
      <c r="I58" s="50">
        <v>1.497</v>
      </c>
      <c r="J58" s="51">
        <f>LOG(0.635)</f>
        <v>-0.1972262747080243</v>
      </c>
      <c r="K58" s="52">
        <v>8924</v>
      </c>
      <c r="L58" s="56"/>
    </row>
    <row r="59" spans="1:12" s="24" customFormat="1" ht="25.5">
      <c r="A59" s="36"/>
      <c r="B59" s="36"/>
      <c r="C59" s="36" t="s">
        <v>70</v>
      </c>
      <c r="D59" s="36">
        <v>419</v>
      </c>
      <c r="E59" s="48">
        <v>0</v>
      </c>
      <c r="F59" s="49">
        <f t="shared" si="1"/>
        <v>419</v>
      </c>
      <c r="G59" s="97" t="s">
        <v>110</v>
      </c>
      <c r="H59" s="37">
        <v>0.861</v>
      </c>
      <c r="I59" s="50">
        <v>1.641</v>
      </c>
      <c r="J59" s="51">
        <f>LOG(0.44)</f>
        <v>-0.3565473235138126</v>
      </c>
      <c r="K59" s="52"/>
      <c r="L59" s="56"/>
    </row>
    <row r="60" spans="1:12" s="24" customFormat="1" ht="25.5">
      <c r="A60" s="36"/>
      <c r="B60" s="36"/>
      <c r="C60" s="36"/>
      <c r="D60" s="36"/>
      <c r="E60" s="48"/>
      <c r="F60" s="49"/>
      <c r="G60" s="36"/>
      <c r="H60" s="37"/>
      <c r="I60" s="50"/>
      <c r="J60" s="51"/>
      <c r="K60" s="52"/>
      <c r="L60" s="56"/>
    </row>
    <row r="61" spans="1:12" s="24" customFormat="1" ht="25.5">
      <c r="A61" s="36">
        <f>+A58+1</f>
        <v>20</v>
      </c>
      <c r="B61" s="137" t="s">
        <v>24</v>
      </c>
      <c r="C61" s="36">
        <v>2020</v>
      </c>
      <c r="D61" s="36">
        <v>25</v>
      </c>
      <c r="E61" s="48">
        <v>0</v>
      </c>
      <c r="F61" s="49">
        <f>E61+D61</f>
        <v>25</v>
      </c>
      <c r="G61" s="35" t="s">
        <v>111</v>
      </c>
      <c r="H61" s="37">
        <v>0.807</v>
      </c>
      <c r="I61" s="50">
        <v>1.247</v>
      </c>
      <c r="J61" s="51">
        <f>LOG(1.435)</f>
        <v>0.15685190107001115</v>
      </c>
      <c r="K61" s="52">
        <v>1392</v>
      </c>
      <c r="L61" s="56"/>
    </row>
    <row r="62" spans="1:12" s="24" customFormat="1" ht="25.5">
      <c r="A62" s="36"/>
      <c r="B62" s="36"/>
      <c r="C62" s="36" t="s">
        <v>76</v>
      </c>
      <c r="D62" s="36">
        <v>559</v>
      </c>
      <c r="E62" s="48">
        <v>0</v>
      </c>
      <c r="F62" s="49">
        <f>E62+D62</f>
        <v>559</v>
      </c>
      <c r="G62" s="36" t="s">
        <v>112</v>
      </c>
      <c r="H62" s="37">
        <v>0.589</v>
      </c>
      <c r="I62" s="50">
        <v>1.287</v>
      </c>
      <c r="J62" s="51">
        <f>LOG(1.425)</f>
        <v>0.153814864344529</v>
      </c>
      <c r="K62" s="52"/>
      <c r="L62" s="56"/>
    </row>
    <row r="63" spans="1:12" s="24" customFormat="1" ht="25.5">
      <c r="A63" s="36"/>
      <c r="B63" s="36"/>
      <c r="C63" s="36"/>
      <c r="D63" s="36"/>
      <c r="E63" s="48"/>
      <c r="F63" s="49"/>
      <c r="G63" s="36"/>
      <c r="H63" s="37"/>
      <c r="I63" s="50"/>
      <c r="J63" s="51"/>
      <c r="K63" s="52"/>
      <c r="L63" s="56"/>
    </row>
    <row r="64" spans="1:12" s="24" customFormat="1" ht="25.5">
      <c r="A64" s="36">
        <v>21</v>
      </c>
      <c r="B64" s="136" t="s">
        <v>17</v>
      </c>
      <c r="C64" s="36">
        <v>2020</v>
      </c>
      <c r="D64" s="36">
        <v>28</v>
      </c>
      <c r="E64" s="48">
        <v>0</v>
      </c>
      <c r="F64" s="49">
        <f>E64+D64</f>
        <v>28</v>
      </c>
      <c r="G64" s="35" t="s">
        <v>114</v>
      </c>
      <c r="H64" s="37">
        <v>0.882</v>
      </c>
      <c r="I64" s="50">
        <v>1.696</v>
      </c>
      <c r="J64" s="51">
        <f>LOG(1.253)</f>
        <v>0.09795107099414996</v>
      </c>
      <c r="K64" s="52">
        <v>726</v>
      </c>
      <c r="L64" s="56"/>
    </row>
    <row r="65" spans="1:12" s="24" customFormat="1" ht="25.5">
      <c r="A65" s="36"/>
      <c r="B65" s="36"/>
      <c r="C65" s="36" t="s">
        <v>113</v>
      </c>
      <c r="D65" s="36">
        <v>692</v>
      </c>
      <c r="E65" s="48">
        <v>0</v>
      </c>
      <c r="F65" s="49">
        <f>E65+D65</f>
        <v>692</v>
      </c>
      <c r="G65" s="97" t="s">
        <v>115</v>
      </c>
      <c r="H65" s="130">
        <v>0.843</v>
      </c>
      <c r="I65" s="131">
        <v>1.571</v>
      </c>
      <c r="J65" s="51">
        <f>LOG(2.231)</f>
        <v>0.3484995702838377</v>
      </c>
      <c r="K65" s="52"/>
      <c r="L65" s="56"/>
    </row>
    <row r="66" spans="1:12" s="24" customFormat="1" ht="25.5">
      <c r="A66" s="36"/>
      <c r="B66" s="36"/>
      <c r="C66" s="36"/>
      <c r="D66" s="36"/>
      <c r="E66" s="48"/>
      <c r="F66" s="49"/>
      <c r="G66" s="36"/>
      <c r="H66" s="37"/>
      <c r="I66" s="50"/>
      <c r="J66" s="51"/>
      <c r="K66" s="52"/>
      <c r="L66" s="56"/>
    </row>
    <row r="67" spans="1:12" s="24" customFormat="1" ht="25.5">
      <c r="A67" s="57">
        <v>22</v>
      </c>
      <c r="B67" s="137" t="s">
        <v>53</v>
      </c>
      <c r="C67" s="36">
        <v>2020</v>
      </c>
      <c r="D67" s="36">
        <v>23</v>
      </c>
      <c r="E67" s="48">
        <v>0</v>
      </c>
      <c r="F67" s="49">
        <f>E67+D67</f>
        <v>23</v>
      </c>
      <c r="G67" s="35" t="s">
        <v>117</v>
      </c>
      <c r="H67" s="37">
        <v>0.944</v>
      </c>
      <c r="I67" s="50">
        <v>1.584</v>
      </c>
      <c r="J67" s="51">
        <f>LOG(6.197)</f>
        <v>0.7921814961496788</v>
      </c>
      <c r="K67" s="52">
        <v>762</v>
      </c>
      <c r="L67" s="53"/>
    </row>
    <row r="68" spans="1:12" s="24" customFormat="1" ht="25.5">
      <c r="A68" s="57"/>
      <c r="B68" s="36"/>
      <c r="C68" s="36" t="s">
        <v>116</v>
      </c>
      <c r="D68" s="36">
        <v>344</v>
      </c>
      <c r="E68" s="48">
        <v>0</v>
      </c>
      <c r="F68" s="49">
        <f>E68+D68</f>
        <v>344</v>
      </c>
      <c r="G68" s="36" t="s">
        <v>118</v>
      </c>
      <c r="H68" s="37">
        <v>0.9</v>
      </c>
      <c r="I68" s="50">
        <v>1.44</v>
      </c>
      <c r="J68" s="51">
        <f>LOG(3.895)</f>
        <v>0.5905074620085833</v>
      </c>
      <c r="K68" s="52"/>
      <c r="L68" s="53"/>
    </row>
    <row r="69" spans="1:12" s="24" customFormat="1" ht="25.5">
      <c r="A69" s="57"/>
      <c r="B69" s="36"/>
      <c r="C69" s="36"/>
      <c r="D69" s="36"/>
      <c r="E69" s="48"/>
      <c r="F69" s="49"/>
      <c r="G69" s="36"/>
      <c r="H69" s="37"/>
      <c r="I69" s="50"/>
      <c r="J69" s="51"/>
      <c r="K69" s="52"/>
      <c r="L69" s="53"/>
    </row>
    <row r="70" spans="1:12" s="28" customFormat="1" ht="22.5" customHeight="1">
      <c r="A70" s="57">
        <v>23</v>
      </c>
      <c r="B70" s="136" t="s">
        <v>18</v>
      </c>
      <c r="C70" s="36">
        <v>2020</v>
      </c>
      <c r="D70" s="36">
        <v>39</v>
      </c>
      <c r="E70" s="48">
        <v>0</v>
      </c>
      <c r="F70" s="49">
        <f aca="true" t="shared" si="2" ref="F70:F80">E70+D70</f>
        <v>39</v>
      </c>
      <c r="G70" s="35" t="s">
        <v>120</v>
      </c>
      <c r="H70" s="37">
        <v>0.947</v>
      </c>
      <c r="I70" s="50">
        <v>1.541</v>
      </c>
      <c r="J70" s="51">
        <f>LOG(1.751)</f>
        <v>0.24328614608344612</v>
      </c>
      <c r="K70" s="52">
        <v>7749</v>
      </c>
      <c r="L70" s="53"/>
    </row>
    <row r="71" spans="1:12" s="28" customFormat="1" ht="22.5" customHeight="1">
      <c r="A71" s="57"/>
      <c r="B71" s="36"/>
      <c r="C71" s="36" t="s">
        <v>119</v>
      </c>
      <c r="D71" s="36">
        <v>736</v>
      </c>
      <c r="E71" s="48">
        <v>0</v>
      </c>
      <c r="F71" s="49">
        <f t="shared" si="2"/>
        <v>736</v>
      </c>
      <c r="G71" s="36" t="s">
        <v>121</v>
      </c>
      <c r="H71" s="37">
        <v>0.924</v>
      </c>
      <c r="I71" s="50">
        <v>1.506</v>
      </c>
      <c r="J71" s="51">
        <f>LOG(1.597)</f>
        <v>0.20330491613848292</v>
      </c>
      <c r="K71" s="52"/>
      <c r="L71" s="63"/>
    </row>
    <row r="72" spans="1:12" s="28" customFormat="1" ht="22.5" customHeight="1">
      <c r="A72" s="64"/>
      <c r="B72" s="36"/>
      <c r="C72" s="36"/>
      <c r="D72" s="36"/>
      <c r="E72" s="48"/>
      <c r="F72" s="49"/>
      <c r="G72" s="36"/>
      <c r="H72" s="37"/>
      <c r="I72" s="50"/>
      <c r="J72" s="51"/>
      <c r="K72" s="52"/>
      <c r="L72" s="63"/>
    </row>
    <row r="73" spans="1:12" s="28" customFormat="1" ht="22.5" customHeight="1">
      <c r="A73" s="57">
        <v>24</v>
      </c>
      <c r="B73" s="139" t="s">
        <v>47</v>
      </c>
      <c r="C73" s="57">
        <v>2020</v>
      </c>
      <c r="D73" s="57">
        <v>35</v>
      </c>
      <c r="E73" s="58">
        <v>0</v>
      </c>
      <c r="F73" s="49">
        <f t="shared" si="2"/>
        <v>35</v>
      </c>
      <c r="G73" s="38" t="s">
        <v>123</v>
      </c>
      <c r="H73" s="59">
        <v>0.928</v>
      </c>
      <c r="I73" s="60">
        <v>1.618</v>
      </c>
      <c r="J73" s="61">
        <f>LOG(1.634)</f>
        <v>0.21325205219639665</v>
      </c>
      <c r="K73" s="62">
        <v>5394</v>
      </c>
      <c r="L73" s="63"/>
    </row>
    <row r="74" spans="1:12" s="28" customFormat="1" ht="22.5" customHeight="1">
      <c r="A74" s="57"/>
      <c r="B74" s="57"/>
      <c r="C74" s="57" t="s">
        <v>122</v>
      </c>
      <c r="D74" s="57">
        <v>463</v>
      </c>
      <c r="E74" s="58">
        <v>0</v>
      </c>
      <c r="F74" s="49">
        <f t="shared" si="2"/>
        <v>463</v>
      </c>
      <c r="G74" s="57" t="s">
        <v>124</v>
      </c>
      <c r="H74" s="59">
        <v>0.862</v>
      </c>
      <c r="I74" s="60">
        <v>1.704</v>
      </c>
      <c r="J74" s="61">
        <f>LOG(0.814)</f>
        <v>-0.0893755951107988</v>
      </c>
      <c r="K74" s="62"/>
      <c r="L74" s="63"/>
    </row>
    <row r="75" spans="1:12" s="28" customFormat="1" ht="22.5" customHeight="1">
      <c r="A75" s="57"/>
      <c r="B75" s="57"/>
      <c r="C75" s="57"/>
      <c r="D75" s="57"/>
      <c r="E75" s="58"/>
      <c r="F75" s="49"/>
      <c r="G75" s="57"/>
      <c r="H75" s="59"/>
      <c r="I75" s="60"/>
      <c r="J75" s="61"/>
      <c r="K75" s="62"/>
      <c r="L75" s="133"/>
    </row>
    <row r="76" spans="1:12" s="28" customFormat="1" ht="22.5" customHeight="1">
      <c r="A76" s="57">
        <v>25</v>
      </c>
      <c r="B76" s="139" t="s">
        <v>60</v>
      </c>
      <c r="C76" s="57">
        <v>2020</v>
      </c>
      <c r="D76" s="57">
        <v>22</v>
      </c>
      <c r="E76" s="58">
        <v>0</v>
      </c>
      <c r="F76" s="49">
        <f t="shared" si="2"/>
        <v>22</v>
      </c>
      <c r="G76" s="38" t="s">
        <v>126</v>
      </c>
      <c r="H76" s="59">
        <v>0.648</v>
      </c>
      <c r="I76" s="60">
        <v>1.643</v>
      </c>
      <c r="J76" s="61">
        <f>LOG(3.681)</f>
        <v>0.5659658174466666</v>
      </c>
      <c r="K76" s="62">
        <v>590</v>
      </c>
      <c r="L76" s="133"/>
    </row>
    <row r="77" spans="1:12" s="28" customFormat="1" ht="22.5" customHeight="1">
      <c r="A77" s="57"/>
      <c r="B77" s="57"/>
      <c r="C77" s="57" t="s">
        <v>125</v>
      </c>
      <c r="D77" s="57">
        <v>118</v>
      </c>
      <c r="E77" s="58">
        <v>0</v>
      </c>
      <c r="F77" s="49">
        <f t="shared" si="2"/>
        <v>118</v>
      </c>
      <c r="G77" s="57" t="s">
        <v>127</v>
      </c>
      <c r="H77" s="59">
        <v>0.858</v>
      </c>
      <c r="I77" s="60">
        <v>1.626</v>
      </c>
      <c r="J77" s="61">
        <f>LOG(3.476)</f>
        <v>0.5410797677766288</v>
      </c>
      <c r="K77" s="62"/>
      <c r="L77" s="133"/>
    </row>
    <row r="78" spans="1:12" s="28" customFormat="1" ht="22.5" customHeight="1">
      <c r="A78" s="57"/>
      <c r="B78" s="57"/>
      <c r="C78" s="57"/>
      <c r="D78" s="57"/>
      <c r="E78" s="58"/>
      <c r="F78" s="49"/>
      <c r="G78" s="57"/>
      <c r="H78" s="59"/>
      <c r="I78" s="60"/>
      <c r="J78" s="61"/>
      <c r="K78" s="62"/>
      <c r="L78" s="63"/>
    </row>
    <row r="79" spans="1:12" s="28" customFormat="1" ht="22.5" customHeight="1">
      <c r="A79" s="57">
        <v>26</v>
      </c>
      <c r="B79" s="139" t="s">
        <v>48</v>
      </c>
      <c r="C79" s="57">
        <v>2020</v>
      </c>
      <c r="D79" s="57">
        <v>26</v>
      </c>
      <c r="E79" s="58">
        <v>0</v>
      </c>
      <c r="F79" s="49">
        <f t="shared" si="2"/>
        <v>26</v>
      </c>
      <c r="G79" s="38" t="s">
        <v>128</v>
      </c>
      <c r="H79" s="59">
        <v>0.934</v>
      </c>
      <c r="I79" s="60">
        <v>1.581</v>
      </c>
      <c r="J79" s="61">
        <f>LOG(0.805)</f>
        <v>-0.09420411963213146</v>
      </c>
      <c r="K79" s="62">
        <v>10305</v>
      </c>
      <c r="L79" s="71"/>
    </row>
    <row r="80" spans="1:12" s="28" customFormat="1" ht="22.5" customHeight="1">
      <c r="A80" s="72"/>
      <c r="B80" s="57"/>
      <c r="C80" s="57" t="s">
        <v>70</v>
      </c>
      <c r="D80" s="57">
        <v>426</v>
      </c>
      <c r="E80" s="58">
        <v>0</v>
      </c>
      <c r="F80" s="49">
        <f t="shared" si="2"/>
        <v>426</v>
      </c>
      <c r="G80" s="57" t="s">
        <v>129</v>
      </c>
      <c r="H80" s="59">
        <v>0.851</v>
      </c>
      <c r="I80" s="60">
        <v>1.574</v>
      </c>
      <c r="J80" s="61">
        <f>LOG(0.753)</f>
        <v>-0.12320502379929942</v>
      </c>
      <c r="K80" s="62"/>
      <c r="L80" s="63"/>
    </row>
    <row r="81" spans="1:12" s="28" customFormat="1" ht="22.5" customHeight="1">
      <c r="A81" s="57"/>
      <c r="B81" s="64"/>
      <c r="C81" s="64"/>
      <c r="D81" s="64"/>
      <c r="E81" s="65"/>
      <c r="F81" s="66"/>
      <c r="G81" s="64"/>
      <c r="H81" s="67"/>
      <c r="I81" s="68"/>
      <c r="J81" s="69"/>
      <c r="K81" s="70"/>
      <c r="L81" s="63"/>
    </row>
    <row r="82" spans="1:12" s="28" customFormat="1" ht="22.5" customHeight="1">
      <c r="A82" s="72">
        <v>27</v>
      </c>
      <c r="B82" s="139" t="s">
        <v>61</v>
      </c>
      <c r="C82" s="57">
        <v>2020</v>
      </c>
      <c r="D82" s="57">
        <v>16</v>
      </c>
      <c r="E82" s="58">
        <v>0</v>
      </c>
      <c r="F82" s="49">
        <f aca="true" t="shared" si="3" ref="F82:F110">E82+D82</f>
        <v>16</v>
      </c>
      <c r="G82" s="38" t="s">
        <v>131</v>
      </c>
      <c r="H82" s="59">
        <v>0.784</v>
      </c>
      <c r="I82" s="60">
        <v>1.609</v>
      </c>
      <c r="J82" s="61">
        <f>LOG(2.007)</f>
        <v>0.3025473724874856</v>
      </c>
      <c r="K82" s="62">
        <v>124</v>
      </c>
      <c r="L82" s="71"/>
    </row>
    <row r="83" spans="1:12" s="28" customFormat="1" ht="22.5" customHeight="1">
      <c r="A83" s="72"/>
      <c r="B83" s="57"/>
      <c r="C83" s="57" t="s">
        <v>130</v>
      </c>
      <c r="D83" s="57">
        <v>61</v>
      </c>
      <c r="E83" s="58">
        <v>0</v>
      </c>
      <c r="F83" s="49">
        <f t="shared" si="3"/>
        <v>61</v>
      </c>
      <c r="G83" s="57" t="s">
        <v>132</v>
      </c>
      <c r="H83" s="59">
        <v>0.849</v>
      </c>
      <c r="I83" s="60">
        <v>1.58</v>
      </c>
      <c r="J83" s="61">
        <f>LOG(2.024)</f>
        <v>0.3062105081677615</v>
      </c>
      <c r="K83" s="62"/>
      <c r="L83" s="63"/>
    </row>
    <row r="84" spans="1:12" s="28" customFormat="1" ht="22.5" customHeight="1">
      <c r="A84" s="57"/>
      <c r="B84" s="64"/>
      <c r="C84" s="64"/>
      <c r="D84" s="64"/>
      <c r="E84" s="65"/>
      <c r="F84" s="49"/>
      <c r="G84" s="64"/>
      <c r="H84" s="67"/>
      <c r="I84" s="68"/>
      <c r="J84" s="69"/>
      <c r="K84" s="70"/>
      <c r="L84" s="63"/>
    </row>
    <row r="85" spans="1:12" s="28" customFormat="1" ht="22.5" customHeight="1">
      <c r="A85" s="57">
        <v>28</v>
      </c>
      <c r="B85" s="139" t="s">
        <v>49</v>
      </c>
      <c r="C85" s="57">
        <v>2020</v>
      </c>
      <c r="D85" s="57">
        <v>31</v>
      </c>
      <c r="E85" s="58">
        <v>0</v>
      </c>
      <c r="F85" s="49">
        <f t="shared" si="3"/>
        <v>31</v>
      </c>
      <c r="G85" s="38" t="s">
        <v>133</v>
      </c>
      <c r="H85" s="59">
        <v>0.824</v>
      </c>
      <c r="I85" s="60">
        <v>1.71</v>
      </c>
      <c r="J85" s="61">
        <f>LOG(0.672)</f>
        <v>-0.17263072694617473</v>
      </c>
      <c r="K85" s="62">
        <v>4560</v>
      </c>
      <c r="L85" s="78"/>
    </row>
    <row r="86" spans="1:12" s="28" customFormat="1" ht="22.5" customHeight="1">
      <c r="A86" s="57"/>
      <c r="B86" s="57"/>
      <c r="C86" s="57" t="s">
        <v>135</v>
      </c>
      <c r="D86" s="57">
        <v>461</v>
      </c>
      <c r="E86" s="58">
        <v>0</v>
      </c>
      <c r="F86" s="82">
        <f t="shared" si="3"/>
        <v>461</v>
      </c>
      <c r="G86" s="142" t="s">
        <v>134</v>
      </c>
      <c r="H86" s="104">
        <v>0.835</v>
      </c>
      <c r="I86" s="105">
        <v>1.859</v>
      </c>
      <c r="J86" s="106">
        <f>LOG(0.212)</f>
        <v>-0.6736641390712486</v>
      </c>
      <c r="K86" s="70"/>
      <c r="L86" s="78"/>
    </row>
    <row r="87" spans="1:12" s="28" customFormat="1" ht="22.5" customHeight="1">
      <c r="A87" s="72"/>
      <c r="B87" s="57"/>
      <c r="C87" s="57"/>
      <c r="D87" s="57"/>
      <c r="E87" s="58"/>
      <c r="F87" s="49"/>
      <c r="G87" s="57"/>
      <c r="H87" s="59"/>
      <c r="I87" s="60"/>
      <c r="J87" s="61"/>
      <c r="K87" s="62"/>
      <c r="L87" s="63"/>
    </row>
    <row r="88" spans="1:12" s="28" customFormat="1" ht="22.5" customHeight="1">
      <c r="A88" s="57">
        <v>29</v>
      </c>
      <c r="B88" s="140" t="s">
        <v>50</v>
      </c>
      <c r="C88" s="72">
        <v>2020</v>
      </c>
      <c r="D88" s="72">
        <v>32</v>
      </c>
      <c r="E88" s="73">
        <v>0</v>
      </c>
      <c r="F88" s="89">
        <f t="shared" si="3"/>
        <v>32</v>
      </c>
      <c r="G88" s="39" t="s">
        <v>136</v>
      </c>
      <c r="H88" s="74">
        <v>0.822</v>
      </c>
      <c r="I88" s="75">
        <v>1.595</v>
      </c>
      <c r="J88" s="76">
        <f>LOG(1.415)</f>
        <v>0.15075643986030904</v>
      </c>
      <c r="K88" s="77">
        <v>3476</v>
      </c>
      <c r="L88" s="63"/>
    </row>
    <row r="89" spans="1:12" s="28" customFormat="1" ht="22.5" customHeight="1">
      <c r="A89" s="57"/>
      <c r="B89" s="72"/>
      <c r="C89" s="72" t="s">
        <v>70</v>
      </c>
      <c r="D89" s="72">
        <v>449</v>
      </c>
      <c r="E89" s="73">
        <v>0</v>
      </c>
      <c r="F89" s="49">
        <f t="shared" si="3"/>
        <v>449</v>
      </c>
      <c r="G89" s="99" t="s">
        <v>137</v>
      </c>
      <c r="H89" s="74">
        <v>0.81</v>
      </c>
      <c r="I89" s="75">
        <v>1.834</v>
      </c>
      <c r="J89" s="76">
        <f>LOG(0.315)</f>
        <v>-0.5016894462103995</v>
      </c>
      <c r="K89" s="77"/>
      <c r="L89" s="63"/>
    </row>
    <row r="90" spans="1:12" s="28" customFormat="1" ht="22.5" customHeight="1">
      <c r="A90" s="57"/>
      <c r="B90" s="57"/>
      <c r="C90" s="57"/>
      <c r="D90" s="57"/>
      <c r="E90" s="58"/>
      <c r="F90" s="49"/>
      <c r="G90" s="57"/>
      <c r="H90" s="59"/>
      <c r="I90" s="60"/>
      <c r="J90" s="61"/>
      <c r="K90" s="62"/>
      <c r="L90" s="63"/>
    </row>
    <row r="91" spans="1:12" s="28" customFormat="1" ht="22.5" customHeight="1">
      <c r="A91" s="57">
        <v>30</v>
      </c>
      <c r="B91" s="139" t="s">
        <v>54</v>
      </c>
      <c r="C91" s="57">
        <v>2020</v>
      </c>
      <c r="D91" s="57">
        <v>27</v>
      </c>
      <c r="E91" s="58">
        <v>0</v>
      </c>
      <c r="F91" s="49">
        <f t="shared" si="3"/>
        <v>27</v>
      </c>
      <c r="G91" s="38" t="s">
        <v>138</v>
      </c>
      <c r="H91" s="59">
        <v>0.822</v>
      </c>
      <c r="I91" s="60">
        <v>1.629</v>
      </c>
      <c r="J91" s="61">
        <f>LOG(1.995)</f>
        <v>0.2999429000227671</v>
      </c>
      <c r="K91" s="62">
        <v>620.7</v>
      </c>
      <c r="L91" s="63"/>
    </row>
    <row r="92" spans="1:12" s="28" customFormat="1" ht="22.5" customHeight="1">
      <c r="A92" s="57"/>
      <c r="B92" s="57"/>
      <c r="C92" s="57" t="s">
        <v>125</v>
      </c>
      <c r="D92" s="57">
        <v>409</v>
      </c>
      <c r="E92" s="58">
        <v>0</v>
      </c>
      <c r="F92" s="49">
        <f t="shared" si="3"/>
        <v>409</v>
      </c>
      <c r="G92" s="57" t="s">
        <v>139</v>
      </c>
      <c r="H92" s="59">
        <v>0.737</v>
      </c>
      <c r="I92" s="60">
        <v>1.676</v>
      </c>
      <c r="J92" s="61">
        <f>LOG(0.685)</f>
        <v>-0.1643094285075744</v>
      </c>
      <c r="K92" s="62"/>
      <c r="L92" s="63"/>
    </row>
    <row r="93" spans="1:12" s="28" customFormat="1" ht="22.5" customHeight="1">
      <c r="A93" s="57"/>
      <c r="B93" s="57"/>
      <c r="C93" s="57"/>
      <c r="D93" s="57"/>
      <c r="E93" s="58"/>
      <c r="F93" s="49"/>
      <c r="G93" s="57"/>
      <c r="H93" s="59"/>
      <c r="I93" s="60"/>
      <c r="J93" s="61"/>
      <c r="K93" s="62"/>
      <c r="L93" s="63"/>
    </row>
    <row r="94" spans="1:12" s="28" customFormat="1" ht="22.5" customHeight="1">
      <c r="A94" s="57">
        <v>31</v>
      </c>
      <c r="B94" s="139" t="s">
        <v>62</v>
      </c>
      <c r="C94" s="57">
        <v>2020</v>
      </c>
      <c r="D94" s="57">
        <v>31</v>
      </c>
      <c r="E94" s="58">
        <v>0</v>
      </c>
      <c r="F94" s="49">
        <f t="shared" si="3"/>
        <v>31</v>
      </c>
      <c r="G94" s="38" t="s">
        <v>140</v>
      </c>
      <c r="H94" s="59">
        <v>0.868</v>
      </c>
      <c r="I94" s="60">
        <v>1.9</v>
      </c>
      <c r="J94" s="61">
        <f>LOG(0.335)</f>
        <v>-0.47495519296315475</v>
      </c>
      <c r="K94" s="62">
        <v>2170</v>
      </c>
      <c r="L94" s="63"/>
    </row>
    <row r="95" spans="1:12" s="28" customFormat="1" ht="22.5" customHeight="1">
      <c r="A95" s="57"/>
      <c r="B95" s="57"/>
      <c r="C95" s="57" t="s">
        <v>130</v>
      </c>
      <c r="D95" s="57">
        <v>89</v>
      </c>
      <c r="E95" s="58">
        <v>0</v>
      </c>
      <c r="F95" s="49">
        <f t="shared" si="3"/>
        <v>89</v>
      </c>
      <c r="G95" s="57" t="s">
        <v>141</v>
      </c>
      <c r="H95" s="59">
        <v>0.855</v>
      </c>
      <c r="I95" s="60">
        <v>1.774</v>
      </c>
      <c r="J95" s="61">
        <f>LOG(0.452)</f>
        <v>-0.3448615651886179</v>
      </c>
      <c r="K95" s="62"/>
      <c r="L95" s="63"/>
    </row>
    <row r="96" spans="1:12" s="28" customFormat="1" ht="22.5" customHeight="1">
      <c r="A96" s="57"/>
      <c r="B96" s="57"/>
      <c r="C96" s="57"/>
      <c r="D96" s="57"/>
      <c r="E96" s="58"/>
      <c r="F96" s="49"/>
      <c r="G96" s="57"/>
      <c r="H96" s="59"/>
      <c r="I96" s="60"/>
      <c r="J96" s="61"/>
      <c r="K96" s="62"/>
      <c r="L96" s="63"/>
    </row>
    <row r="97" spans="1:12" s="28" customFormat="1" ht="22.5" customHeight="1" hidden="1">
      <c r="A97" s="57"/>
      <c r="B97" s="57"/>
      <c r="C97" s="57"/>
      <c r="D97" s="57"/>
      <c r="E97" s="58"/>
      <c r="F97" s="49">
        <f t="shared" si="3"/>
        <v>0</v>
      </c>
      <c r="G97" s="57"/>
      <c r="H97" s="59"/>
      <c r="I97" s="60"/>
      <c r="J97" s="61"/>
      <c r="K97" s="62"/>
      <c r="L97" s="63"/>
    </row>
    <row r="98" spans="1:12" s="28" customFormat="1" ht="22.5" customHeight="1">
      <c r="A98" s="141">
        <v>32</v>
      </c>
      <c r="B98" s="139" t="s">
        <v>27</v>
      </c>
      <c r="C98" s="57">
        <v>2020</v>
      </c>
      <c r="D98" s="57">
        <v>34</v>
      </c>
      <c r="E98" s="58">
        <v>0</v>
      </c>
      <c r="F98" s="49">
        <f t="shared" si="3"/>
        <v>34</v>
      </c>
      <c r="G98" s="38" t="s">
        <v>142</v>
      </c>
      <c r="H98" s="59">
        <v>0.868</v>
      </c>
      <c r="I98" s="60">
        <v>1.568</v>
      </c>
      <c r="J98" s="61">
        <f>LOG(2.228)</f>
        <v>0.34791518650169134</v>
      </c>
      <c r="K98" s="62">
        <v>2909</v>
      </c>
      <c r="L98" s="63"/>
    </row>
    <row r="99" spans="1:12" s="28" customFormat="1" ht="22.5" customHeight="1">
      <c r="A99" s="141"/>
      <c r="B99" s="57"/>
      <c r="C99" s="57" t="s">
        <v>119</v>
      </c>
      <c r="D99" s="57">
        <v>712</v>
      </c>
      <c r="E99" s="58">
        <v>0</v>
      </c>
      <c r="F99" s="49">
        <f t="shared" si="3"/>
        <v>712</v>
      </c>
      <c r="G99" s="98" t="s">
        <v>143</v>
      </c>
      <c r="H99" s="59">
        <v>0.855</v>
      </c>
      <c r="I99" s="60">
        <v>1.774</v>
      </c>
      <c r="J99" s="61">
        <f>LOG(0.452)</f>
        <v>-0.3448615651886179</v>
      </c>
      <c r="K99" s="62"/>
      <c r="L99" s="63"/>
    </row>
    <row r="100" spans="1:12" s="28" customFormat="1" ht="22.5" customHeight="1">
      <c r="A100" s="141"/>
      <c r="B100" s="57"/>
      <c r="C100" s="57"/>
      <c r="D100" s="57"/>
      <c r="E100" s="58"/>
      <c r="F100" s="49"/>
      <c r="G100" s="98"/>
      <c r="H100" s="59"/>
      <c r="I100" s="60"/>
      <c r="J100" s="61"/>
      <c r="K100" s="62"/>
      <c r="L100" s="63"/>
    </row>
    <row r="101" spans="1:12" s="28" customFormat="1" ht="22.5" customHeight="1">
      <c r="A101" s="141">
        <v>33</v>
      </c>
      <c r="B101" s="139" t="s">
        <v>51</v>
      </c>
      <c r="C101" s="57">
        <v>2020</v>
      </c>
      <c r="D101" s="57">
        <v>25</v>
      </c>
      <c r="E101" s="58">
        <v>0</v>
      </c>
      <c r="F101" s="49">
        <f t="shared" si="3"/>
        <v>25</v>
      </c>
      <c r="G101" s="38" t="s">
        <v>144</v>
      </c>
      <c r="H101" s="59">
        <v>0.754</v>
      </c>
      <c r="I101" s="60">
        <v>2.419</v>
      </c>
      <c r="J101" s="61">
        <f>LOG(0.446)</f>
        <v>-0.35066514128785814</v>
      </c>
      <c r="K101" s="62">
        <v>386</v>
      </c>
      <c r="L101" s="63"/>
    </row>
    <row r="102" spans="1:12" s="28" customFormat="1" ht="22.5" customHeight="1">
      <c r="A102" s="141"/>
      <c r="B102" s="57"/>
      <c r="C102" s="57" t="s">
        <v>89</v>
      </c>
      <c r="D102" s="57">
        <v>444</v>
      </c>
      <c r="E102" s="58">
        <v>0</v>
      </c>
      <c r="F102" s="49">
        <f t="shared" si="3"/>
        <v>444</v>
      </c>
      <c r="G102" s="98" t="s">
        <v>145</v>
      </c>
      <c r="H102" s="59">
        <v>0.69</v>
      </c>
      <c r="I102" s="60">
        <v>2.074</v>
      </c>
      <c r="J102" s="61">
        <f>LOG(0.869)</f>
        <v>-0.060980223551333534</v>
      </c>
      <c r="K102" s="62"/>
      <c r="L102" s="63"/>
    </row>
    <row r="103" spans="1:12" s="28" customFormat="1" ht="22.5" customHeight="1">
      <c r="A103" s="141"/>
      <c r="B103" s="57"/>
      <c r="C103" s="57"/>
      <c r="D103" s="57"/>
      <c r="E103" s="58"/>
      <c r="F103" s="49"/>
      <c r="G103" s="57"/>
      <c r="H103" s="59"/>
      <c r="I103" s="60"/>
      <c r="J103" s="61"/>
      <c r="K103" s="62"/>
      <c r="L103" s="63"/>
    </row>
    <row r="104" spans="1:12" s="28" customFormat="1" ht="22.5" customHeight="1">
      <c r="A104" s="141">
        <v>34</v>
      </c>
      <c r="B104" s="137" t="s">
        <v>30</v>
      </c>
      <c r="C104" s="57">
        <v>2020</v>
      </c>
      <c r="D104" s="57">
        <v>13</v>
      </c>
      <c r="E104" s="58">
        <v>0</v>
      </c>
      <c r="F104" s="49">
        <f t="shared" si="3"/>
        <v>13</v>
      </c>
      <c r="G104" s="38" t="s">
        <v>147</v>
      </c>
      <c r="H104" s="59">
        <v>0.912</v>
      </c>
      <c r="I104" s="60">
        <v>1.504</v>
      </c>
      <c r="J104" s="61">
        <f>LOG(0.884)</f>
        <v>-0.05354773498692691</v>
      </c>
      <c r="K104" s="62">
        <v>6266</v>
      </c>
      <c r="L104" s="63"/>
    </row>
    <row r="105" spans="1:12" s="24" customFormat="1" ht="25.5">
      <c r="A105" s="141"/>
      <c r="B105" s="57"/>
      <c r="C105" s="57" t="s">
        <v>146</v>
      </c>
      <c r="D105" s="57">
        <v>223</v>
      </c>
      <c r="E105" s="58">
        <v>0</v>
      </c>
      <c r="F105" s="49">
        <f t="shared" si="3"/>
        <v>223</v>
      </c>
      <c r="G105" s="57" t="s">
        <v>148</v>
      </c>
      <c r="H105" s="59">
        <v>0.886</v>
      </c>
      <c r="I105" s="60">
        <v>1.256</v>
      </c>
      <c r="J105" s="61">
        <f>LOG(2.342)</f>
        <v>0.3695868907363443</v>
      </c>
      <c r="K105" s="79"/>
      <c r="L105" s="63"/>
    </row>
    <row r="106" spans="1:12" s="24" customFormat="1" ht="25.5">
      <c r="A106" s="57"/>
      <c r="B106" s="57"/>
      <c r="C106" s="57"/>
      <c r="D106" s="57"/>
      <c r="E106" s="58"/>
      <c r="F106" s="49"/>
      <c r="G106" s="57"/>
      <c r="H106" s="59"/>
      <c r="I106" s="60"/>
      <c r="J106" s="61"/>
      <c r="K106" s="79"/>
      <c r="L106" s="63"/>
    </row>
    <row r="107" spans="1:12" s="24" customFormat="1" ht="25.5">
      <c r="A107" s="57">
        <v>35</v>
      </c>
      <c r="B107" s="139" t="s">
        <v>63</v>
      </c>
      <c r="C107" s="57">
        <v>2020</v>
      </c>
      <c r="D107" s="57">
        <v>26</v>
      </c>
      <c r="E107" s="58">
        <v>0</v>
      </c>
      <c r="F107" s="49">
        <f t="shared" si="3"/>
        <v>26</v>
      </c>
      <c r="G107" s="38" t="s">
        <v>150</v>
      </c>
      <c r="H107" s="59">
        <v>0.892</v>
      </c>
      <c r="I107" s="60">
        <v>1.979</v>
      </c>
      <c r="J107" s="61">
        <f>LOG(2.731)</f>
        <v>0.4363217001397333</v>
      </c>
      <c r="K107" s="62">
        <v>667</v>
      </c>
      <c r="L107" s="63"/>
    </row>
    <row r="108" spans="1:12" s="24" customFormat="1" ht="25.5">
      <c r="A108" s="57"/>
      <c r="B108" s="57"/>
      <c r="C108" s="57" t="s">
        <v>149</v>
      </c>
      <c r="D108" s="57">
        <v>89</v>
      </c>
      <c r="E108" s="58">
        <v>0</v>
      </c>
      <c r="F108" s="49">
        <f t="shared" si="3"/>
        <v>89</v>
      </c>
      <c r="G108" s="57" t="s">
        <v>151</v>
      </c>
      <c r="H108" s="59">
        <v>0.9</v>
      </c>
      <c r="I108" s="60">
        <v>1.869</v>
      </c>
      <c r="J108" s="61">
        <f>LOG(1.924)</f>
        <v>0.28420506770179416</v>
      </c>
      <c r="K108" s="79"/>
      <c r="L108" s="63"/>
    </row>
    <row r="109" spans="1:12" s="24" customFormat="1" ht="25.5">
      <c r="A109" s="100"/>
      <c r="B109" s="100"/>
      <c r="C109" s="100"/>
      <c r="D109" s="100"/>
      <c r="E109" s="100"/>
      <c r="F109" s="49"/>
      <c r="G109" s="100"/>
      <c r="H109" s="100"/>
      <c r="I109" s="100"/>
      <c r="J109" s="100"/>
      <c r="K109" s="100"/>
      <c r="L109" s="63"/>
    </row>
    <row r="110" spans="1:14" s="24" customFormat="1" ht="25.5">
      <c r="A110" s="57"/>
      <c r="B110" s="57"/>
      <c r="C110" s="57" t="s">
        <v>9</v>
      </c>
      <c r="D110" s="57">
        <f>SUM(D4:D109)</f>
        <v>15756</v>
      </c>
      <c r="E110" s="58">
        <v>0</v>
      </c>
      <c r="F110" s="49">
        <f t="shared" si="3"/>
        <v>15756</v>
      </c>
      <c r="G110" s="38"/>
      <c r="H110" s="59"/>
      <c r="I110" s="60"/>
      <c r="J110" s="61"/>
      <c r="K110" s="62"/>
      <c r="L110" s="53"/>
      <c r="N110" s="134"/>
    </row>
    <row r="111" spans="1:12" s="24" customFormat="1" ht="25.5">
      <c r="A111" s="101" t="s">
        <v>55</v>
      </c>
      <c r="B111" s="101"/>
      <c r="C111" s="128"/>
      <c r="D111" s="101"/>
      <c r="E111" s="102"/>
      <c r="F111" s="103"/>
      <c r="G111" s="101"/>
      <c r="H111" s="104"/>
      <c r="I111" s="105"/>
      <c r="J111" s="106"/>
      <c r="K111" s="107"/>
      <c r="L111" s="108"/>
    </row>
    <row r="112" spans="1:12" s="24" customFormat="1" ht="23.2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10"/>
    </row>
    <row r="113" spans="1:12" s="24" customFormat="1" ht="23.2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2"/>
    </row>
    <row r="114" spans="1:12" s="24" customFormat="1" ht="23.2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2"/>
    </row>
    <row r="115" spans="1:12" s="24" customFormat="1" ht="26.25">
      <c r="A115" s="113"/>
      <c r="B115" s="113"/>
      <c r="C115" s="113"/>
      <c r="D115" s="113"/>
      <c r="E115" s="114"/>
      <c r="F115" s="115"/>
      <c r="G115" s="113"/>
      <c r="H115" s="116"/>
      <c r="I115" s="117"/>
      <c r="J115" s="118"/>
      <c r="K115" s="113"/>
      <c r="L115" s="119"/>
    </row>
    <row r="116" spans="1:12" s="24" customFormat="1" ht="26.25">
      <c r="A116" s="120"/>
      <c r="B116" s="120"/>
      <c r="C116" s="120"/>
      <c r="D116" s="121"/>
      <c r="E116" s="122"/>
      <c r="F116" s="123"/>
      <c r="G116" s="124"/>
      <c r="H116" s="125"/>
      <c r="I116" s="124"/>
      <c r="J116" s="126"/>
      <c r="K116" s="127"/>
      <c r="L116" s="119"/>
    </row>
    <row r="117" spans="1:12" s="24" customFormat="1" ht="26.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9"/>
    </row>
    <row r="118" spans="1:12" s="24" customFormat="1" ht="29.25">
      <c r="A118" s="29"/>
      <c r="B118" s="29"/>
      <c r="C118" s="29"/>
      <c r="D118" s="29"/>
      <c r="E118" s="29"/>
      <c r="F118" s="34"/>
      <c r="G118" s="22"/>
      <c r="H118" s="30"/>
      <c r="I118" s="22"/>
      <c r="J118" s="31"/>
      <c r="K118" s="22"/>
      <c r="L118" s="32"/>
    </row>
  </sheetData>
  <sheetProtection/>
  <mergeCells count="10">
    <mergeCell ref="C2:C3"/>
    <mergeCell ref="L2:L3"/>
    <mergeCell ref="H2:H3"/>
    <mergeCell ref="A1:L1"/>
    <mergeCell ref="D2:F2"/>
    <mergeCell ref="A2:A3"/>
    <mergeCell ref="B2:B3"/>
    <mergeCell ref="J2:J3"/>
    <mergeCell ref="I2:I3"/>
    <mergeCell ref="G2:G3"/>
  </mergeCells>
  <printOptions horizontalCentered="1"/>
  <pageMargins left="0.11811023622047245" right="0" top="0.7874015748031497" bottom="0.3937007874015748" header="0.5118110236220472" footer="0.5511811023622047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4" sqref="C4"/>
    </sheetView>
  </sheetViews>
  <sheetFormatPr defaultColWidth="9.140625" defaultRowHeight="21.75"/>
  <cols>
    <col min="1" max="1" width="9.140625" style="2" customWidth="1"/>
    <col min="2" max="2" width="6.140625" style="2" customWidth="1"/>
    <col min="3" max="3" width="20.8515625" style="13" customWidth="1"/>
    <col min="4" max="16384" width="9.140625" style="1" customWidth="1"/>
  </cols>
  <sheetData>
    <row r="1" spans="1:3" ht="30">
      <c r="A1" s="20" t="s">
        <v>20</v>
      </c>
      <c r="B1" s="15"/>
      <c r="C1" s="15"/>
    </row>
    <row r="2" spans="1:3" s="3" customFormat="1" ht="23.25">
      <c r="A2" s="300" t="s">
        <v>7</v>
      </c>
      <c r="B2" s="300" t="s">
        <v>0</v>
      </c>
      <c r="C2" s="301" t="s">
        <v>3</v>
      </c>
    </row>
    <row r="3" spans="1:3" s="3" customFormat="1" ht="23.25">
      <c r="A3" s="300"/>
      <c r="B3" s="300"/>
      <c r="C3" s="301"/>
    </row>
    <row r="4" spans="1:5" s="3" customFormat="1" ht="23.25">
      <c r="A4" s="4">
        <v>1</v>
      </c>
      <c r="B4" s="5" t="s">
        <v>11</v>
      </c>
      <c r="C4" s="16">
        <f>LOG(0.4851)</f>
        <v>-0.3141687253739364</v>
      </c>
      <c r="D4" s="3">
        <v>0.4851</v>
      </c>
      <c r="E4" s="3">
        <f>+LOG(D4)</f>
        <v>-0.3141687253739364</v>
      </c>
    </row>
    <row r="5" spans="1:3" s="3" customFormat="1" ht="23.25">
      <c r="A5" s="6"/>
      <c r="B5" s="6"/>
      <c r="C5" s="17">
        <f>LOG(1.4189)</f>
        <v>0.15195178870726556</v>
      </c>
    </row>
    <row r="6" spans="1:3" s="3" customFormat="1" ht="23.25">
      <c r="A6" s="6">
        <f>+A4+1</f>
        <v>2</v>
      </c>
      <c r="B6" s="7" t="s">
        <v>12</v>
      </c>
      <c r="C6" s="17">
        <f>LOG(3.4059)</f>
        <v>0.5322318925738089</v>
      </c>
    </row>
    <row r="7" spans="1:3" s="3" customFormat="1" ht="23.25">
      <c r="A7" s="6"/>
      <c r="B7" s="6"/>
      <c r="C7" s="17">
        <f>LOG(3.6824)</f>
        <v>0.5661309618859178</v>
      </c>
    </row>
    <row r="8" spans="1:3" s="3" customFormat="1" ht="23.25">
      <c r="A8" s="6">
        <f>+A6+1</f>
        <v>3</v>
      </c>
      <c r="B8" s="7" t="s">
        <v>21</v>
      </c>
      <c r="C8" s="17">
        <f>LOG(0.4124)</f>
        <v>-0.38468134338852106</v>
      </c>
    </row>
    <row r="9" spans="1:3" s="3" customFormat="1" ht="23.25">
      <c r="A9" s="6"/>
      <c r="B9" s="7"/>
      <c r="C9" s="17">
        <f>LOG(0.3674)</f>
        <v>-0.43486084803021047</v>
      </c>
    </row>
    <row r="10" spans="1:3" s="3" customFormat="1" ht="23.25">
      <c r="A10" s="6"/>
      <c r="B10" s="7" t="s">
        <v>35</v>
      </c>
      <c r="C10" s="17">
        <f>LOG(5.6805)</f>
        <v>0.7543865641765075</v>
      </c>
    </row>
    <row r="11" spans="1:3" s="3" customFormat="1" ht="23.25">
      <c r="A11" s="6"/>
      <c r="B11" s="6"/>
      <c r="C11" s="17">
        <f>LOG(5.6805)</f>
        <v>0.7543865641765075</v>
      </c>
    </row>
    <row r="12" spans="1:3" s="3" customFormat="1" ht="23.25">
      <c r="A12" s="6">
        <f>+A8+1</f>
        <v>4</v>
      </c>
      <c r="B12" s="7" t="s">
        <v>13</v>
      </c>
      <c r="C12" s="17">
        <f>LOG(3.1705)</f>
        <v>0.5011277575229803</v>
      </c>
    </row>
    <row r="13" spans="1:3" s="3" customFormat="1" ht="23.25">
      <c r="A13" s="6"/>
      <c r="B13" s="6"/>
      <c r="C13" s="17">
        <f>LOG(3.4453)</f>
        <v>0.5372270441455221</v>
      </c>
    </row>
    <row r="14" spans="1:3" s="3" customFormat="1" ht="23.25">
      <c r="A14" s="6">
        <f>+A12+1</f>
        <v>5</v>
      </c>
      <c r="B14" s="7" t="s">
        <v>22</v>
      </c>
      <c r="C14" s="17">
        <f>LOG(4.8522)</f>
        <v>0.6859386934942598</v>
      </c>
    </row>
    <row r="15" spans="1:3" s="3" customFormat="1" ht="23.25">
      <c r="A15" s="6"/>
      <c r="B15" s="6"/>
      <c r="C15" s="17">
        <f>LOG(4.9302)</f>
        <v>0.6928645373572675</v>
      </c>
    </row>
    <row r="16" spans="1:3" s="3" customFormat="1" ht="23.25">
      <c r="A16" s="6">
        <f>+A14+1</f>
        <v>6</v>
      </c>
      <c r="B16" s="7" t="s">
        <v>14</v>
      </c>
      <c r="C16" s="17">
        <f>LOG(5.1227)</f>
        <v>0.7094989230909564</v>
      </c>
    </row>
    <row r="17" spans="1:3" s="3" customFormat="1" ht="23.25">
      <c r="A17" s="6"/>
      <c r="B17" s="6"/>
      <c r="C17" s="17">
        <f>LOG(4.5302)</f>
        <v>0.6561173757388853</v>
      </c>
    </row>
    <row r="18" spans="1:3" s="3" customFormat="1" ht="23.25">
      <c r="A18" s="6">
        <f>+A16+1</f>
        <v>7</v>
      </c>
      <c r="B18" s="7" t="s">
        <v>15</v>
      </c>
      <c r="C18" s="17">
        <f>LOG(4.3208)</f>
        <v>0.6355641642731371</v>
      </c>
    </row>
    <row r="19" spans="1:3" s="3" customFormat="1" ht="23.25">
      <c r="A19" s="6"/>
      <c r="B19" s="6"/>
      <c r="C19" s="17">
        <f>LOG(4.7961)</f>
        <v>0.6808882296802367</v>
      </c>
    </row>
    <row r="20" spans="1:3" s="3" customFormat="1" ht="23.25">
      <c r="A20" s="6">
        <f>+A18+1</f>
        <v>8</v>
      </c>
      <c r="B20" s="7" t="s">
        <v>36</v>
      </c>
      <c r="C20" s="17">
        <f>LOG(2.7165)</f>
        <v>0.43400970936973965</v>
      </c>
    </row>
    <row r="21" spans="1:3" s="3" customFormat="1" ht="23.25">
      <c r="A21" s="6"/>
      <c r="B21" s="7"/>
      <c r="C21" s="17">
        <f>LOG(2.7165)</f>
        <v>0.43400970936973965</v>
      </c>
    </row>
    <row r="22" spans="1:3" s="3" customFormat="1" ht="23.25">
      <c r="A22" s="6">
        <f aca="true" t="shared" si="0" ref="A22:A28">+A20+1</f>
        <v>9</v>
      </c>
      <c r="B22" s="7" t="s">
        <v>37</v>
      </c>
      <c r="C22" s="17">
        <f>LOG(1.6061)</f>
        <v>0.20577258209841967</v>
      </c>
    </row>
    <row r="23" spans="1:3" s="3" customFormat="1" ht="23.25">
      <c r="A23" s="6"/>
      <c r="B23" s="7"/>
      <c r="C23" s="17">
        <f>LOG(1.6061)</f>
        <v>0.20577258209841967</v>
      </c>
    </row>
    <row r="24" spans="1:3" s="3" customFormat="1" ht="23.25">
      <c r="A24" s="6">
        <f t="shared" si="0"/>
        <v>10</v>
      </c>
      <c r="B24" s="7" t="s">
        <v>38</v>
      </c>
      <c r="C24" s="17">
        <f>LOG(0.1314)</f>
        <v>-0.8814046347762381</v>
      </c>
    </row>
    <row r="25" spans="1:3" s="3" customFormat="1" ht="23.25">
      <c r="A25" s="6"/>
      <c r="B25" s="7"/>
      <c r="C25" s="17">
        <f>LOG(0.1314)</f>
        <v>-0.8814046347762381</v>
      </c>
    </row>
    <row r="26" spans="1:3" s="3" customFormat="1" ht="23.25">
      <c r="A26" s="6">
        <f t="shared" si="0"/>
        <v>11</v>
      </c>
      <c r="B26" s="7" t="s">
        <v>39</v>
      </c>
      <c r="C26" s="17">
        <f>LOG(4.3139)</f>
        <v>0.6348700735547615</v>
      </c>
    </row>
    <row r="27" spans="1:3" s="3" customFormat="1" ht="23.25">
      <c r="A27" s="6"/>
      <c r="B27" s="7"/>
      <c r="C27" s="17">
        <f>LOG(4.3139)</f>
        <v>0.6348700735547615</v>
      </c>
    </row>
    <row r="28" spans="1:3" s="3" customFormat="1" ht="23.25">
      <c r="A28" s="6">
        <f t="shared" si="0"/>
        <v>12</v>
      </c>
      <c r="B28" s="7" t="s">
        <v>23</v>
      </c>
      <c r="C28" s="17">
        <f>LOG(4.0878)</f>
        <v>0.6114896393230412</v>
      </c>
    </row>
    <row r="29" spans="1:3" s="3" customFormat="1" ht="23.25">
      <c r="A29" s="6"/>
      <c r="B29" s="7"/>
      <c r="C29" s="17">
        <f>LOG(4.2467)</f>
        <v>0.628051582171172</v>
      </c>
    </row>
    <row r="30" spans="1:3" s="3" customFormat="1" ht="23.25">
      <c r="A30" s="6">
        <f>+A28+1</f>
        <v>13</v>
      </c>
      <c r="B30" s="7" t="s">
        <v>16</v>
      </c>
      <c r="C30" s="17">
        <f>LOG(0.9353)</f>
        <v>-0.029049065654575875</v>
      </c>
    </row>
    <row r="31" spans="1:3" s="3" customFormat="1" ht="23.25">
      <c r="A31" s="6"/>
      <c r="B31" s="6"/>
      <c r="C31" s="17">
        <f>LOG(1.339)</f>
        <v>0.12678057701200895</v>
      </c>
    </row>
    <row r="32" spans="1:3" s="3" customFormat="1" ht="23.25">
      <c r="A32" s="6">
        <f>+A30+1</f>
        <v>14</v>
      </c>
      <c r="B32" s="7" t="s">
        <v>25</v>
      </c>
      <c r="C32" s="17">
        <f>LOG(3.4498)</f>
        <v>0.537793917851788</v>
      </c>
    </row>
    <row r="33" spans="1:3" s="3" customFormat="1" ht="23.25">
      <c r="A33" s="6"/>
      <c r="B33" s="6"/>
      <c r="C33" s="17">
        <f>LOG(3.8867)</f>
        <v>0.5895810203398645</v>
      </c>
    </row>
    <row r="34" spans="1:3" s="3" customFormat="1" ht="23.25">
      <c r="A34" s="6">
        <f>+A32+1</f>
        <v>15</v>
      </c>
      <c r="B34" s="7" t="s">
        <v>18</v>
      </c>
      <c r="C34" s="17">
        <f>LOG(1.8967)</f>
        <v>0.2779986442002884</v>
      </c>
    </row>
    <row r="35" spans="1:3" s="3" customFormat="1" ht="23.25">
      <c r="A35" s="8"/>
      <c r="B35" s="8"/>
      <c r="C35" s="18">
        <f>LOG(2.5085)</f>
        <v>0.3994141053637703</v>
      </c>
    </row>
    <row r="36" spans="1:3" s="3" customFormat="1" ht="23.25">
      <c r="A36" s="10">
        <f>+A34+1</f>
        <v>16</v>
      </c>
      <c r="B36" s="11" t="s">
        <v>19</v>
      </c>
      <c r="C36" s="19">
        <f>LOG(4.117)</f>
        <v>0.614580866997486</v>
      </c>
    </row>
    <row r="37" spans="1:3" s="3" customFormat="1" ht="23.25">
      <c r="A37" s="6"/>
      <c r="B37" s="6"/>
      <c r="C37" s="17">
        <f>LOG(4.0716)</f>
        <v>0.6097651056927426</v>
      </c>
    </row>
    <row r="38" spans="1:3" s="3" customFormat="1" ht="23.25">
      <c r="A38" s="6">
        <f>+A36+1</f>
        <v>17</v>
      </c>
      <c r="B38" s="7" t="s">
        <v>26</v>
      </c>
      <c r="C38" s="17">
        <f>LOG(1.376)</f>
        <v>0.13861843389949247</v>
      </c>
    </row>
    <row r="39" spans="1:3" s="3" customFormat="1" ht="23.25">
      <c r="A39" s="6"/>
      <c r="B39" s="6"/>
      <c r="C39" s="17">
        <f>LOG(1.5368)</f>
        <v>0.18661735185363723</v>
      </c>
    </row>
    <row r="40" spans="1:3" s="3" customFormat="1" ht="23.25">
      <c r="A40" s="6">
        <f>+A38+1</f>
        <v>18</v>
      </c>
      <c r="B40" s="7" t="s">
        <v>27</v>
      </c>
      <c r="C40" s="17">
        <f>LOG(7.5695)</f>
        <v>0.8790671933161128</v>
      </c>
    </row>
    <row r="41" spans="1:3" s="3" customFormat="1" ht="23.25">
      <c r="A41" s="6"/>
      <c r="B41" s="6"/>
      <c r="C41" s="17">
        <f>LOG(4.9161)</f>
        <v>0.6916207084305436</v>
      </c>
    </row>
    <row r="42" spans="1:3" s="3" customFormat="1" ht="23.25">
      <c r="A42" s="6">
        <f>+A40+1</f>
        <v>19</v>
      </c>
      <c r="B42" s="7" t="s">
        <v>28</v>
      </c>
      <c r="C42" s="17">
        <f>LOG(5.3348)</f>
        <v>0.7271181425000357</v>
      </c>
    </row>
    <row r="43" spans="1:3" s="3" customFormat="1" ht="23.25">
      <c r="A43" s="6"/>
      <c r="B43" s="6"/>
      <c r="C43" s="17">
        <f>LOG(5.4234)</f>
        <v>0.7342716367766632</v>
      </c>
    </row>
    <row r="44" spans="1:3" s="3" customFormat="1" ht="23.25">
      <c r="A44" s="6">
        <f>+A42+1</f>
        <v>20</v>
      </c>
      <c r="B44" s="7" t="s">
        <v>29</v>
      </c>
      <c r="C44" s="17">
        <f>LOG(5.9372)</f>
        <v>0.773581678778409</v>
      </c>
    </row>
    <row r="45" spans="1:3" s="3" customFormat="1" ht="23.25">
      <c r="A45" s="6"/>
      <c r="B45" s="6"/>
      <c r="C45" s="17">
        <f>LOG(6.9584)</f>
        <v>0.8425093903212607</v>
      </c>
    </row>
    <row r="46" spans="1:3" s="3" customFormat="1" ht="23.25">
      <c r="A46" s="6">
        <f>+A44+1</f>
        <v>21</v>
      </c>
      <c r="B46" s="7" t="s">
        <v>30</v>
      </c>
      <c r="C46" s="17">
        <f>LOG(5.9321)</f>
        <v>0.7732084635097722</v>
      </c>
    </row>
    <row r="47" spans="1:3" s="3" customFormat="1" ht="23.25">
      <c r="A47" s="8"/>
      <c r="B47" s="8"/>
      <c r="C47" s="18">
        <f>LOG(5.2056)</f>
        <v>0.7164707937257992</v>
      </c>
    </row>
    <row r="48" spans="1:3" s="3" customFormat="1" ht="23.25">
      <c r="A48" s="9"/>
      <c r="B48" s="9"/>
      <c r="C48" s="12"/>
    </row>
    <row r="49" spans="1:3" s="3" customFormat="1" ht="23.25">
      <c r="A49" s="21" t="s">
        <v>33</v>
      </c>
      <c r="B49" s="14"/>
      <c r="C49" s="14"/>
    </row>
  </sheetData>
  <sheetProtection/>
  <mergeCells count="3">
    <mergeCell ref="A2:A3"/>
    <mergeCell ref="B2:B3"/>
    <mergeCell ref="C2:C3"/>
  </mergeCells>
  <printOptions horizontalCentered="1"/>
  <pageMargins left="0.1968503937007874" right="0.1968503937007874" top="0.3937007874015748" bottom="0.3937007874015748" header="0.5118110236220472" footer="0.5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115" zoomScaleNormal="115" zoomScalePageLayoutView="0" workbookViewId="0" topLeftCell="A1">
      <selection activeCell="D41" sqref="D41"/>
    </sheetView>
  </sheetViews>
  <sheetFormatPr defaultColWidth="9.140625" defaultRowHeight="30" customHeight="1"/>
  <cols>
    <col min="1" max="1" width="5.140625" style="143" customWidth="1"/>
    <col min="2" max="2" width="6.421875" style="143" customWidth="1"/>
    <col min="3" max="3" width="14.7109375" style="143" customWidth="1"/>
    <col min="4" max="4" width="9.28125" style="143" bestFit="1" customWidth="1"/>
    <col min="5" max="5" width="5.28125" style="143" customWidth="1"/>
    <col min="6" max="6" width="11.140625" style="259" customWidth="1"/>
    <col min="7" max="7" width="19.8515625" style="146" customWidth="1"/>
    <col min="8" max="8" width="12.140625" style="147" customWidth="1"/>
    <col min="9" max="9" width="11.140625" style="146" customWidth="1"/>
    <col min="10" max="10" width="21.8515625" style="144" customWidth="1"/>
    <col min="11" max="11" width="10.00390625" style="146" customWidth="1"/>
    <col min="12" max="12" width="25.421875" style="253" customWidth="1"/>
    <col min="13" max="13" width="9.140625" style="143" customWidth="1"/>
    <col min="14" max="14" width="15.57421875" style="144" customWidth="1"/>
    <col min="15" max="16384" width="9.140625" style="146" customWidth="1"/>
  </cols>
  <sheetData>
    <row r="1" spans="1:12" ht="30" customHeight="1">
      <c r="A1" s="302" t="s">
        <v>158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4"/>
    </row>
    <row r="2" spans="1:12" ht="30" customHeight="1">
      <c r="A2" s="305" t="s">
        <v>7</v>
      </c>
      <c r="B2" s="305" t="s">
        <v>0</v>
      </c>
      <c r="C2" s="305" t="s">
        <v>6</v>
      </c>
      <c r="D2" s="306" t="s">
        <v>5</v>
      </c>
      <c r="E2" s="307"/>
      <c r="F2" s="308"/>
      <c r="G2" s="309" t="s">
        <v>1</v>
      </c>
      <c r="H2" s="310" t="s">
        <v>4</v>
      </c>
      <c r="I2" s="305" t="s">
        <v>2</v>
      </c>
      <c r="J2" s="311" t="s">
        <v>3</v>
      </c>
      <c r="K2" s="155" t="s">
        <v>31</v>
      </c>
      <c r="L2" s="312" t="s">
        <v>34</v>
      </c>
    </row>
    <row r="3" spans="1:12" ht="30" customHeight="1">
      <c r="A3" s="305"/>
      <c r="B3" s="305"/>
      <c r="C3" s="305"/>
      <c r="D3" s="156" t="s">
        <v>8</v>
      </c>
      <c r="E3" s="157" t="s">
        <v>10</v>
      </c>
      <c r="F3" s="255" t="s">
        <v>152</v>
      </c>
      <c r="G3" s="309"/>
      <c r="H3" s="310"/>
      <c r="I3" s="305"/>
      <c r="J3" s="311"/>
      <c r="K3" s="158" t="s">
        <v>32</v>
      </c>
      <c r="L3" s="313"/>
    </row>
    <row r="4" spans="1:12" ht="30" customHeight="1">
      <c r="A4" s="159">
        <v>1</v>
      </c>
      <c r="B4" s="160" t="s">
        <v>11</v>
      </c>
      <c r="C4" s="159">
        <v>2023</v>
      </c>
      <c r="D4" s="159">
        <v>31</v>
      </c>
      <c r="E4" s="161">
        <v>5</v>
      </c>
      <c r="F4" s="254">
        <f>E4+D4</f>
        <v>36</v>
      </c>
      <c r="G4" s="162" t="s">
        <v>220</v>
      </c>
      <c r="H4" s="163">
        <v>0.8019</v>
      </c>
      <c r="I4" s="164">
        <v>1.7915</v>
      </c>
      <c r="J4" s="165">
        <v>-0.5108856306210806</v>
      </c>
      <c r="K4" s="166">
        <v>6350</v>
      </c>
      <c r="L4" s="167" t="s">
        <v>157</v>
      </c>
    </row>
    <row r="5" spans="1:12" ht="30" customHeight="1">
      <c r="A5" s="168"/>
      <c r="B5" s="168"/>
      <c r="C5" s="168" t="s">
        <v>219</v>
      </c>
      <c r="D5" s="168">
        <v>931</v>
      </c>
      <c r="E5" s="169">
        <v>12</v>
      </c>
      <c r="F5" s="254">
        <f>E5+D5</f>
        <v>943</v>
      </c>
      <c r="G5" s="170" t="s">
        <v>221</v>
      </c>
      <c r="H5" s="171">
        <v>0.8596</v>
      </c>
      <c r="I5" s="172">
        <v>1.5312</v>
      </c>
      <c r="J5" s="173">
        <v>0.08185117151745415</v>
      </c>
      <c r="K5" s="174"/>
      <c r="L5" s="175"/>
    </row>
    <row r="6" spans="1:12" ht="30" customHeight="1">
      <c r="A6" s="168"/>
      <c r="B6" s="168"/>
      <c r="C6" s="168"/>
      <c r="D6" s="168"/>
      <c r="E6" s="169"/>
      <c r="F6" s="254"/>
      <c r="G6" s="168"/>
      <c r="H6" s="176"/>
      <c r="I6" s="172"/>
      <c r="J6" s="177"/>
      <c r="K6" s="174"/>
      <c r="L6" s="175"/>
    </row>
    <row r="7" spans="1:13" ht="30" customHeight="1">
      <c r="A7" s="168">
        <f>+A4+1</f>
        <v>2</v>
      </c>
      <c r="B7" s="178" t="s">
        <v>12</v>
      </c>
      <c r="C7" s="168">
        <v>2023</v>
      </c>
      <c r="D7" s="168">
        <v>32</v>
      </c>
      <c r="E7" s="169">
        <v>0</v>
      </c>
      <c r="F7" s="254">
        <f>E7+D7</f>
        <v>32</v>
      </c>
      <c r="G7" s="179" t="s">
        <v>222</v>
      </c>
      <c r="H7" s="180">
        <v>0.9162</v>
      </c>
      <c r="I7" s="172">
        <v>1.481</v>
      </c>
      <c r="J7" s="173">
        <v>0.7155688318607815</v>
      </c>
      <c r="K7" s="174">
        <v>1930</v>
      </c>
      <c r="L7" s="167" t="s">
        <v>157</v>
      </c>
      <c r="M7" s="147"/>
    </row>
    <row r="8" spans="1:12" ht="30" customHeight="1">
      <c r="A8" s="168"/>
      <c r="B8" s="168"/>
      <c r="C8" s="168" t="s">
        <v>224</v>
      </c>
      <c r="D8" s="168">
        <v>523</v>
      </c>
      <c r="E8" s="181">
        <v>4</v>
      </c>
      <c r="F8" s="254">
        <f>E8+D8</f>
        <v>527</v>
      </c>
      <c r="G8" s="170" t="s">
        <v>223</v>
      </c>
      <c r="H8" s="176">
        <v>0.8794</v>
      </c>
      <c r="I8" s="172">
        <v>1.5776</v>
      </c>
      <c r="J8" s="173">
        <v>0.45342537127166527</v>
      </c>
      <c r="K8" s="174"/>
      <c r="L8" s="175"/>
    </row>
    <row r="9" spans="1:12" ht="30" customHeight="1">
      <c r="A9" s="168"/>
      <c r="B9" s="168"/>
      <c r="C9" s="168"/>
      <c r="D9" s="168"/>
      <c r="E9" s="169"/>
      <c r="F9" s="254"/>
      <c r="G9" s="179"/>
      <c r="H9" s="176"/>
      <c r="I9" s="172"/>
      <c r="J9" s="173"/>
      <c r="K9" s="174"/>
      <c r="L9" s="175"/>
    </row>
    <row r="10" spans="1:12" ht="30" customHeight="1">
      <c r="A10" s="168">
        <f>+A7+1</f>
        <v>3</v>
      </c>
      <c r="B10" s="182" t="s">
        <v>40</v>
      </c>
      <c r="C10" s="168">
        <v>2023</v>
      </c>
      <c r="D10" s="168">
        <v>21</v>
      </c>
      <c r="E10" s="169">
        <v>0</v>
      </c>
      <c r="F10" s="254">
        <f>E10+D10</f>
        <v>21</v>
      </c>
      <c r="G10" s="179" t="s">
        <v>204</v>
      </c>
      <c r="H10" s="176">
        <v>0.8139</v>
      </c>
      <c r="I10" s="172">
        <v>1.1835</v>
      </c>
      <c r="J10" s="173">
        <v>0.20098721916316625</v>
      </c>
      <c r="K10" s="174">
        <v>1569</v>
      </c>
      <c r="L10" s="167" t="s">
        <v>157</v>
      </c>
    </row>
    <row r="11" spans="1:12" ht="30" customHeight="1">
      <c r="A11" s="168"/>
      <c r="B11" s="168"/>
      <c r="C11" s="168" t="s">
        <v>159</v>
      </c>
      <c r="D11" s="168">
        <v>460</v>
      </c>
      <c r="E11" s="181">
        <v>5</v>
      </c>
      <c r="F11" s="254">
        <f>E11+D11</f>
        <v>465</v>
      </c>
      <c r="G11" s="168" t="s">
        <v>205</v>
      </c>
      <c r="H11" s="176">
        <v>0.86</v>
      </c>
      <c r="I11" s="172">
        <v>1.3768</v>
      </c>
      <c r="J11" s="173">
        <v>0.06243155316261224</v>
      </c>
      <c r="K11" s="174"/>
      <c r="L11" s="175"/>
    </row>
    <row r="12" spans="1:12" ht="30" customHeight="1">
      <c r="A12" s="168"/>
      <c r="B12" s="168"/>
      <c r="C12" s="168"/>
      <c r="D12" s="168"/>
      <c r="E12" s="169"/>
      <c r="F12" s="254"/>
      <c r="G12" s="168"/>
      <c r="H12" s="176"/>
      <c r="I12" s="172"/>
      <c r="J12" s="173"/>
      <c r="K12" s="174"/>
      <c r="L12" s="175"/>
    </row>
    <row r="13" spans="1:13" ht="30" customHeight="1">
      <c r="A13" s="168">
        <f>+A10+1</f>
        <v>4</v>
      </c>
      <c r="B13" s="178" t="s">
        <v>35</v>
      </c>
      <c r="C13" s="168">
        <v>2023</v>
      </c>
      <c r="D13" s="168">
        <v>28</v>
      </c>
      <c r="E13" s="169">
        <v>2</v>
      </c>
      <c r="F13" s="254">
        <f>E13+D13</f>
        <v>30</v>
      </c>
      <c r="G13" s="179" t="s">
        <v>225</v>
      </c>
      <c r="H13" s="176">
        <v>0.7537</v>
      </c>
      <c r="I13" s="172">
        <v>1.5639</v>
      </c>
      <c r="J13" s="173">
        <v>0.3586770845129741</v>
      </c>
      <c r="K13" s="174">
        <v>452</v>
      </c>
      <c r="L13" s="167" t="s">
        <v>157</v>
      </c>
      <c r="M13" s="147"/>
    </row>
    <row r="14" spans="1:12" ht="30" customHeight="1">
      <c r="A14" s="168"/>
      <c r="B14" s="168"/>
      <c r="C14" s="168" t="s">
        <v>209</v>
      </c>
      <c r="D14" s="168">
        <v>594</v>
      </c>
      <c r="E14" s="169">
        <v>19</v>
      </c>
      <c r="F14" s="254">
        <f>E14+D14</f>
        <v>613</v>
      </c>
      <c r="G14" s="168" t="s">
        <v>226</v>
      </c>
      <c r="H14" s="176">
        <v>0.8595</v>
      </c>
      <c r="I14" s="172">
        <v>1.4414</v>
      </c>
      <c r="J14" s="173">
        <v>0.6100530039345772</v>
      </c>
      <c r="K14" s="174"/>
      <c r="L14" s="175"/>
    </row>
    <row r="15" spans="1:12" ht="30" customHeight="1">
      <c r="A15" s="168"/>
      <c r="B15" s="168"/>
      <c r="C15" s="168"/>
      <c r="D15" s="168"/>
      <c r="E15" s="169"/>
      <c r="F15" s="254"/>
      <c r="G15" s="168"/>
      <c r="H15" s="176"/>
      <c r="I15" s="172"/>
      <c r="J15" s="173"/>
      <c r="K15" s="174"/>
      <c r="L15" s="175"/>
    </row>
    <row r="16" spans="1:12" ht="30" customHeight="1">
      <c r="A16" s="168">
        <f>+A13+1</f>
        <v>5</v>
      </c>
      <c r="B16" s="178" t="s">
        <v>22</v>
      </c>
      <c r="C16" s="168">
        <v>2023</v>
      </c>
      <c r="D16" s="168">
        <v>31</v>
      </c>
      <c r="E16" s="169">
        <v>0</v>
      </c>
      <c r="F16" s="254">
        <f>E16+D16</f>
        <v>31</v>
      </c>
      <c r="G16" s="179" t="s">
        <v>227</v>
      </c>
      <c r="H16" s="176">
        <v>0.8933</v>
      </c>
      <c r="I16" s="172">
        <v>1.6716</v>
      </c>
      <c r="J16" s="173">
        <v>0.5797035876322478</v>
      </c>
      <c r="K16" s="174">
        <v>546</v>
      </c>
      <c r="L16" s="167" t="s">
        <v>157</v>
      </c>
    </row>
    <row r="17" spans="1:13" ht="30" customHeight="1">
      <c r="A17" s="168"/>
      <c r="B17" s="168"/>
      <c r="C17" s="168" t="s">
        <v>164</v>
      </c>
      <c r="D17" s="168">
        <v>660</v>
      </c>
      <c r="E17" s="169">
        <v>12</v>
      </c>
      <c r="F17" s="254">
        <f>E17+D17</f>
        <v>672</v>
      </c>
      <c r="G17" s="148" t="s">
        <v>228</v>
      </c>
      <c r="H17" s="176">
        <v>0.8734</v>
      </c>
      <c r="I17" s="172">
        <v>1.3278</v>
      </c>
      <c r="J17" s="173">
        <v>0.7090154169721173</v>
      </c>
      <c r="K17" s="174"/>
      <c r="L17" s="175"/>
      <c r="M17" s="147"/>
    </row>
    <row r="18" spans="1:12" ht="30" customHeight="1">
      <c r="A18" s="168"/>
      <c r="B18" s="168"/>
      <c r="C18" s="168"/>
      <c r="D18" s="168"/>
      <c r="E18" s="169"/>
      <c r="F18" s="254"/>
      <c r="G18" s="168"/>
      <c r="H18" s="176"/>
      <c r="I18" s="172"/>
      <c r="J18" s="173"/>
      <c r="K18" s="174"/>
      <c r="L18" s="175"/>
    </row>
    <row r="19" spans="1:12" ht="30" customHeight="1">
      <c r="A19" s="168">
        <f>+A16+1</f>
        <v>6</v>
      </c>
      <c r="B19" s="178" t="s">
        <v>41</v>
      </c>
      <c r="C19" s="168">
        <v>2023</v>
      </c>
      <c r="D19" s="288">
        <v>34</v>
      </c>
      <c r="E19" s="169">
        <v>2</v>
      </c>
      <c r="F19" s="254">
        <f aca="true" t="shared" si="0" ref="F19:F26">E19+D19</f>
        <v>36</v>
      </c>
      <c r="G19" s="179" t="s">
        <v>234</v>
      </c>
      <c r="H19" s="176">
        <v>0.7872</v>
      </c>
      <c r="I19" s="172">
        <v>2.161</v>
      </c>
      <c r="J19" s="173">
        <v>-0.637329070274333</v>
      </c>
      <c r="K19" s="174">
        <v>5323</v>
      </c>
      <c r="L19" s="167" t="s">
        <v>157</v>
      </c>
    </row>
    <row r="20" spans="1:12" ht="30" customHeight="1">
      <c r="A20" s="168"/>
      <c r="B20" s="168"/>
      <c r="C20" s="168" t="s">
        <v>159</v>
      </c>
      <c r="D20" s="168">
        <v>551</v>
      </c>
      <c r="E20" s="169">
        <v>2</v>
      </c>
      <c r="F20" s="254">
        <f t="shared" si="0"/>
        <v>553</v>
      </c>
      <c r="G20" s="168" t="s">
        <v>235</v>
      </c>
      <c r="H20" s="152">
        <v>0.8549</v>
      </c>
      <c r="I20" s="172">
        <v>1.5879</v>
      </c>
      <c r="J20" s="173">
        <v>0.205096047578484</v>
      </c>
      <c r="K20" s="174"/>
      <c r="L20" s="175" t="s">
        <v>56</v>
      </c>
    </row>
    <row r="21" spans="1:12" ht="30" customHeight="1">
      <c r="A21" s="168"/>
      <c r="B21" s="168"/>
      <c r="C21" s="168"/>
      <c r="D21" s="168"/>
      <c r="E21" s="169"/>
      <c r="F21" s="254"/>
      <c r="G21" s="168"/>
      <c r="H21" s="176"/>
      <c r="I21" s="172"/>
      <c r="J21" s="173"/>
      <c r="K21" s="174"/>
      <c r="L21" s="175"/>
    </row>
    <row r="22" spans="1:12" ht="30" customHeight="1">
      <c r="A22" s="168">
        <v>7</v>
      </c>
      <c r="B22" s="178" t="s">
        <v>57</v>
      </c>
      <c r="C22" s="168">
        <v>2023</v>
      </c>
      <c r="D22" s="168">
        <v>25</v>
      </c>
      <c r="E22" s="169">
        <v>0</v>
      </c>
      <c r="F22" s="254">
        <f t="shared" si="0"/>
        <v>25</v>
      </c>
      <c r="G22" s="183" t="s">
        <v>207</v>
      </c>
      <c r="H22" s="176">
        <v>0.9048</v>
      </c>
      <c r="I22" s="172">
        <v>1.4705</v>
      </c>
      <c r="J22" s="173">
        <v>-0.18701983396051958</v>
      </c>
      <c r="K22" s="174">
        <v>14887</v>
      </c>
      <c r="L22" s="167" t="s">
        <v>157</v>
      </c>
    </row>
    <row r="23" spans="1:12" ht="30" customHeight="1">
      <c r="A23" s="168"/>
      <c r="B23" s="168"/>
      <c r="C23" s="168" t="s">
        <v>206</v>
      </c>
      <c r="D23" s="168">
        <v>265</v>
      </c>
      <c r="E23" s="169">
        <v>4</v>
      </c>
      <c r="F23" s="254">
        <f t="shared" si="0"/>
        <v>269</v>
      </c>
      <c r="G23" s="168" t="s">
        <v>208</v>
      </c>
      <c r="H23" s="176">
        <v>0.8889</v>
      </c>
      <c r="I23" s="172">
        <v>1.3485</v>
      </c>
      <c r="J23" s="173">
        <v>0.0318122713303704</v>
      </c>
      <c r="K23" s="174"/>
      <c r="L23" s="175"/>
    </row>
    <row r="24" spans="1:12" ht="30" customHeight="1">
      <c r="A24" s="168"/>
      <c r="B24" s="168"/>
      <c r="C24" s="168"/>
      <c r="D24" s="168"/>
      <c r="E24" s="169"/>
      <c r="F24" s="254">
        <f t="shared" si="0"/>
        <v>0</v>
      </c>
      <c r="G24" s="168"/>
      <c r="H24" s="176"/>
      <c r="I24" s="172"/>
      <c r="J24" s="173"/>
      <c r="K24" s="174"/>
      <c r="L24" s="175"/>
    </row>
    <row r="25" spans="1:12" ht="30" customHeight="1">
      <c r="A25" s="168">
        <v>8</v>
      </c>
      <c r="B25" s="178" t="s">
        <v>38</v>
      </c>
      <c r="C25" s="168">
        <v>2023</v>
      </c>
      <c r="D25" s="168">
        <v>23</v>
      </c>
      <c r="E25" s="169">
        <v>13</v>
      </c>
      <c r="F25" s="254">
        <f t="shared" si="0"/>
        <v>36</v>
      </c>
      <c r="G25" s="183" t="s">
        <v>236</v>
      </c>
      <c r="H25" s="171">
        <v>0.7058</v>
      </c>
      <c r="I25" s="176">
        <v>1.4888</v>
      </c>
      <c r="J25" s="173">
        <v>0.44544851426604987</v>
      </c>
      <c r="K25" s="174">
        <v>3088</v>
      </c>
      <c r="L25" s="167" t="s">
        <v>157</v>
      </c>
    </row>
    <row r="26" spans="1:13" ht="30" customHeight="1">
      <c r="A26" s="168"/>
      <c r="B26" s="168"/>
      <c r="C26" s="168" t="s">
        <v>209</v>
      </c>
      <c r="D26" s="168">
        <v>644</v>
      </c>
      <c r="E26" s="169">
        <v>36</v>
      </c>
      <c r="F26" s="254">
        <f t="shared" si="0"/>
        <v>680</v>
      </c>
      <c r="G26" s="170" t="s">
        <v>237</v>
      </c>
      <c r="H26" s="171">
        <v>0.6107</v>
      </c>
      <c r="I26" s="176">
        <v>1.6486</v>
      </c>
      <c r="J26" s="173">
        <v>-0.07680780957933252</v>
      </c>
      <c r="K26" s="174"/>
      <c r="L26" s="175"/>
      <c r="M26" s="147"/>
    </row>
    <row r="27" spans="1:12" ht="30" customHeight="1">
      <c r="A27" s="168"/>
      <c r="B27" s="168"/>
      <c r="C27" s="168"/>
      <c r="D27" s="168"/>
      <c r="E27" s="169"/>
      <c r="F27" s="254"/>
      <c r="G27" s="168"/>
      <c r="H27" s="176"/>
      <c r="I27" s="172"/>
      <c r="J27" s="173"/>
      <c r="K27" s="174"/>
      <c r="L27" s="175"/>
    </row>
    <row r="28" spans="1:12" ht="30" customHeight="1">
      <c r="A28" s="168">
        <v>9</v>
      </c>
      <c r="B28" s="178" t="s">
        <v>39</v>
      </c>
      <c r="C28" s="168">
        <v>2023</v>
      </c>
      <c r="D28" s="168">
        <v>27</v>
      </c>
      <c r="E28" s="169">
        <v>0</v>
      </c>
      <c r="F28" s="254">
        <f>E28+D28</f>
        <v>27</v>
      </c>
      <c r="G28" s="179" t="s">
        <v>210</v>
      </c>
      <c r="H28" s="176">
        <v>0.9659</v>
      </c>
      <c r="I28" s="172">
        <v>1.7843</v>
      </c>
      <c r="J28" s="173">
        <v>0.14242075421955946</v>
      </c>
      <c r="K28" s="174">
        <v>1544</v>
      </c>
      <c r="L28" s="167" t="s">
        <v>157</v>
      </c>
    </row>
    <row r="29" spans="1:12" ht="30" customHeight="1">
      <c r="A29" s="168"/>
      <c r="B29" s="168"/>
      <c r="C29" s="168" t="s">
        <v>209</v>
      </c>
      <c r="D29" s="168">
        <v>621</v>
      </c>
      <c r="E29" s="169">
        <v>5</v>
      </c>
      <c r="F29" s="254">
        <f>E29+D29</f>
        <v>626</v>
      </c>
      <c r="G29" s="170" t="s">
        <v>211</v>
      </c>
      <c r="H29" s="176">
        <v>0.8671</v>
      </c>
      <c r="I29" s="172">
        <v>1.4334</v>
      </c>
      <c r="J29" s="173">
        <v>0.3348155125062121</v>
      </c>
      <c r="K29" s="174"/>
      <c r="L29" s="184"/>
    </row>
    <row r="30" spans="1:12" ht="30" customHeight="1">
      <c r="A30" s="168"/>
      <c r="B30" s="168"/>
      <c r="C30" s="168"/>
      <c r="D30" s="168"/>
      <c r="E30" s="169"/>
      <c r="F30" s="254"/>
      <c r="G30" s="168"/>
      <c r="H30" s="176"/>
      <c r="I30" s="172"/>
      <c r="J30" s="173"/>
      <c r="K30" s="174"/>
      <c r="L30" s="184"/>
    </row>
    <row r="31" spans="1:12" ht="30" customHeight="1">
      <c r="A31" s="168">
        <v>10</v>
      </c>
      <c r="B31" s="182" t="s">
        <v>23</v>
      </c>
      <c r="C31" s="168">
        <v>2023</v>
      </c>
      <c r="D31" s="168">
        <v>22</v>
      </c>
      <c r="E31" s="169">
        <v>0</v>
      </c>
      <c r="F31" s="170">
        <f>E31+D31</f>
        <v>22</v>
      </c>
      <c r="G31" s="179" t="s">
        <v>212</v>
      </c>
      <c r="H31" s="176">
        <v>0.897</v>
      </c>
      <c r="I31" s="172">
        <v>1.4898</v>
      </c>
      <c r="J31" s="173">
        <v>0.6780446760720822</v>
      </c>
      <c r="K31" s="174">
        <v>550</v>
      </c>
      <c r="L31" s="167" t="s">
        <v>157</v>
      </c>
    </row>
    <row r="32" spans="1:12" ht="30" customHeight="1">
      <c r="A32" s="168"/>
      <c r="B32" s="168"/>
      <c r="C32" s="168" t="s">
        <v>164</v>
      </c>
      <c r="D32" s="168">
        <v>587</v>
      </c>
      <c r="E32" s="169">
        <v>26</v>
      </c>
      <c r="F32" s="170">
        <f>E32+D32</f>
        <v>613</v>
      </c>
      <c r="G32" s="168" t="s">
        <v>213</v>
      </c>
      <c r="H32" s="176">
        <v>0.8714</v>
      </c>
      <c r="I32" s="172">
        <v>1.3421</v>
      </c>
      <c r="J32" s="173">
        <v>0.4963483557769947</v>
      </c>
      <c r="K32" s="174"/>
      <c r="L32" s="184"/>
    </row>
    <row r="33" spans="1:12" ht="30" customHeight="1">
      <c r="A33" s="168"/>
      <c r="B33" s="168"/>
      <c r="C33" s="168"/>
      <c r="D33" s="168"/>
      <c r="E33" s="169"/>
      <c r="F33" s="254"/>
      <c r="G33" s="168"/>
      <c r="H33" s="176"/>
      <c r="I33" s="172"/>
      <c r="J33" s="173"/>
      <c r="K33" s="174"/>
      <c r="L33" s="184"/>
    </row>
    <row r="34" spans="1:12" ht="30" customHeight="1">
      <c r="A34" s="168">
        <v>11</v>
      </c>
      <c r="B34" s="178" t="s">
        <v>42</v>
      </c>
      <c r="C34" s="168">
        <v>2023</v>
      </c>
      <c r="D34" s="168">
        <v>21</v>
      </c>
      <c r="E34" s="169">
        <v>9</v>
      </c>
      <c r="F34" s="254">
        <f>E34+D34</f>
        <v>30</v>
      </c>
      <c r="G34" s="183" t="s">
        <v>238</v>
      </c>
      <c r="H34" s="176">
        <v>0.7127</v>
      </c>
      <c r="I34" s="172">
        <v>2.2886</v>
      </c>
      <c r="J34" s="173">
        <v>1.2877435216144812</v>
      </c>
      <c r="K34" s="174">
        <v>136</v>
      </c>
      <c r="L34" s="167" t="s">
        <v>157</v>
      </c>
    </row>
    <row r="35" spans="1:12" ht="30" customHeight="1">
      <c r="A35" s="186"/>
      <c r="B35" s="186"/>
      <c r="C35" s="186" t="s">
        <v>197</v>
      </c>
      <c r="D35" s="186">
        <v>498</v>
      </c>
      <c r="E35" s="187">
        <v>19</v>
      </c>
      <c r="F35" s="254">
        <f>E35+D35</f>
        <v>517</v>
      </c>
      <c r="G35" s="188" t="s">
        <v>239</v>
      </c>
      <c r="H35" s="189">
        <v>0.6156</v>
      </c>
      <c r="I35" s="190">
        <v>1.4594</v>
      </c>
      <c r="J35" s="177">
        <v>0.32917406341751304</v>
      </c>
      <c r="K35" s="191"/>
      <c r="L35" s="192"/>
    </row>
    <row r="36" spans="1:12" ht="30" customHeight="1">
      <c r="A36" s="168"/>
      <c r="B36" s="168"/>
      <c r="C36" s="168"/>
      <c r="D36" s="168"/>
      <c r="E36" s="169"/>
      <c r="F36" s="254"/>
      <c r="G36" s="168"/>
      <c r="H36" s="176"/>
      <c r="I36" s="172"/>
      <c r="J36" s="173"/>
      <c r="K36" s="174"/>
      <c r="L36" s="184"/>
    </row>
    <row r="37" spans="1:12" ht="30" customHeight="1">
      <c r="A37" s="193">
        <v>12</v>
      </c>
      <c r="B37" s="194" t="s">
        <v>43</v>
      </c>
      <c r="C37" s="193">
        <v>2023</v>
      </c>
      <c r="D37" s="193">
        <v>26</v>
      </c>
      <c r="E37" s="195">
        <v>4</v>
      </c>
      <c r="F37" s="254">
        <f>E37+D37</f>
        <v>30</v>
      </c>
      <c r="G37" s="196" t="s">
        <v>240</v>
      </c>
      <c r="H37" s="197">
        <v>0.7281</v>
      </c>
      <c r="I37" s="198">
        <v>1.3216</v>
      </c>
      <c r="J37" s="199">
        <v>0.6307938706772976</v>
      </c>
      <c r="K37" s="200">
        <v>129</v>
      </c>
      <c r="L37" s="167" t="s">
        <v>157</v>
      </c>
    </row>
    <row r="38" spans="1:12" ht="30" customHeight="1">
      <c r="A38" s="168"/>
      <c r="B38" s="168"/>
      <c r="C38" s="168" t="s">
        <v>197</v>
      </c>
      <c r="D38" s="168">
        <v>514</v>
      </c>
      <c r="E38" s="169">
        <v>15</v>
      </c>
      <c r="F38" s="254">
        <f>E38+D38</f>
        <v>529</v>
      </c>
      <c r="G38" s="201" t="s">
        <v>241</v>
      </c>
      <c r="H38" s="176">
        <v>0.7293</v>
      </c>
      <c r="I38" s="172">
        <v>1.4985</v>
      </c>
      <c r="J38" s="173">
        <v>0.34202768808747175</v>
      </c>
      <c r="K38" s="174"/>
      <c r="L38" s="184"/>
    </row>
    <row r="39" spans="1:12" ht="30" customHeight="1">
      <c r="A39" s="168"/>
      <c r="B39" s="168"/>
      <c r="C39" s="168"/>
      <c r="D39" s="168"/>
      <c r="E39" s="169"/>
      <c r="F39" s="254"/>
      <c r="G39" s="168"/>
      <c r="H39" s="176"/>
      <c r="I39" s="172"/>
      <c r="J39" s="173"/>
      <c r="K39" s="174"/>
      <c r="L39" s="184"/>
    </row>
    <row r="40" spans="1:12" ht="30" customHeight="1">
      <c r="A40" s="168">
        <v>13</v>
      </c>
      <c r="B40" s="178" t="s">
        <v>44</v>
      </c>
      <c r="C40" s="168">
        <v>2023</v>
      </c>
      <c r="D40" s="168">
        <v>26</v>
      </c>
      <c r="E40" s="169">
        <v>0</v>
      </c>
      <c r="F40" s="170">
        <f>E40+D40</f>
        <v>26</v>
      </c>
      <c r="G40" s="183" t="s">
        <v>214</v>
      </c>
      <c r="H40" s="171">
        <v>0.7082</v>
      </c>
      <c r="I40" s="172">
        <v>2.5288</v>
      </c>
      <c r="J40" s="173">
        <v>-0.27067319035313925</v>
      </c>
      <c r="K40" s="174">
        <v>389</v>
      </c>
      <c r="L40" s="167" t="s">
        <v>157</v>
      </c>
    </row>
    <row r="41" spans="1:12" ht="30" customHeight="1">
      <c r="A41" s="168"/>
      <c r="B41" s="168"/>
      <c r="C41" s="168" t="s">
        <v>197</v>
      </c>
      <c r="D41" s="168">
        <v>566</v>
      </c>
      <c r="E41" s="169">
        <v>15</v>
      </c>
      <c r="F41" s="170">
        <f>E41+D41</f>
        <v>581</v>
      </c>
      <c r="G41" s="170" t="s">
        <v>215</v>
      </c>
      <c r="H41" s="171">
        <v>0.7482</v>
      </c>
      <c r="I41" s="172">
        <v>1.6777</v>
      </c>
      <c r="J41" s="173">
        <v>0.2213359795338283</v>
      </c>
      <c r="K41" s="174"/>
      <c r="L41" s="184"/>
    </row>
    <row r="42" spans="1:12" ht="30" customHeight="1">
      <c r="A42" s="168"/>
      <c r="B42" s="168"/>
      <c r="C42" s="168"/>
      <c r="D42" s="168"/>
      <c r="E42" s="169"/>
      <c r="F42" s="254"/>
      <c r="G42" s="168"/>
      <c r="H42" s="176"/>
      <c r="I42" s="172"/>
      <c r="J42" s="173"/>
      <c r="K42" s="174"/>
      <c r="L42" s="184" t="s">
        <v>56</v>
      </c>
    </row>
    <row r="43" spans="1:12" ht="30" customHeight="1">
      <c r="A43" s="168">
        <f>+A40+1</f>
        <v>14</v>
      </c>
      <c r="B43" s="178" t="s">
        <v>45</v>
      </c>
      <c r="C43" s="168">
        <v>2023</v>
      </c>
      <c r="D43" s="168">
        <v>25</v>
      </c>
      <c r="E43" s="169">
        <v>0</v>
      </c>
      <c r="F43" s="170">
        <f>E43+D43</f>
        <v>25</v>
      </c>
      <c r="G43" s="183" t="s">
        <v>216</v>
      </c>
      <c r="H43" s="171">
        <v>0.7536</v>
      </c>
      <c r="I43" s="172">
        <v>1.4567</v>
      </c>
      <c r="J43" s="202">
        <v>0.5790858795256157</v>
      </c>
      <c r="K43" s="174">
        <v>491</v>
      </c>
      <c r="L43" s="167" t="s">
        <v>157</v>
      </c>
    </row>
    <row r="44" spans="1:12" ht="30" customHeight="1">
      <c r="A44" s="168"/>
      <c r="B44" s="168"/>
      <c r="C44" s="168" t="s">
        <v>218</v>
      </c>
      <c r="D44" s="168">
        <v>560</v>
      </c>
      <c r="E44" s="169">
        <v>26</v>
      </c>
      <c r="F44" s="170">
        <f>E44+D44</f>
        <v>586</v>
      </c>
      <c r="G44" s="170" t="s">
        <v>217</v>
      </c>
      <c r="H44" s="171">
        <v>0.829</v>
      </c>
      <c r="I44" s="172">
        <v>1.4112</v>
      </c>
      <c r="J44" s="202">
        <v>0.6219237052958058</v>
      </c>
      <c r="K44" s="174"/>
      <c r="L44" s="184"/>
    </row>
    <row r="45" spans="1:12" ht="30" customHeight="1">
      <c r="A45" s="168"/>
      <c r="B45" s="168"/>
      <c r="C45" s="168"/>
      <c r="D45" s="168"/>
      <c r="E45" s="169"/>
      <c r="F45" s="254"/>
      <c r="G45" s="168"/>
      <c r="H45" s="176"/>
      <c r="I45" s="172"/>
      <c r="J45" s="202"/>
      <c r="K45" s="174"/>
      <c r="L45" s="184"/>
    </row>
    <row r="46" spans="1:13" ht="30" customHeight="1">
      <c r="A46" s="168">
        <v>15</v>
      </c>
      <c r="B46" s="178" t="s">
        <v>153</v>
      </c>
      <c r="C46" s="168">
        <v>2023</v>
      </c>
      <c r="D46" s="168">
        <v>29</v>
      </c>
      <c r="E46" s="169">
        <v>0</v>
      </c>
      <c r="F46" s="254">
        <f>E46+D46</f>
        <v>29</v>
      </c>
      <c r="G46" s="179" t="s">
        <v>230</v>
      </c>
      <c r="H46" s="176">
        <v>0.8255</v>
      </c>
      <c r="I46" s="172">
        <v>2.1476</v>
      </c>
      <c r="J46" s="149">
        <v>-0.2798406965940431</v>
      </c>
      <c r="K46" s="174">
        <v>1653</v>
      </c>
      <c r="L46" s="167" t="s">
        <v>157</v>
      </c>
      <c r="M46" s="147"/>
    </row>
    <row r="47" spans="1:12" ht="30" customHeight="1">
      <c r="A47" s="168"/>
      <c r="B47" s="168"/>
      <c r="C47" s="168" t="s">
        <v>229</v>
      </c>
      <c r="D47" s="168">
        <v>322</v>
      </c>
      <c r="E47" s="169">
        <v>0</v>
      </c>
      <c r="F47" s="254">
        <f>E47+D47</f>
        <v>322</v>
      </c>
      <c r="G47" s="168" t="s">
        <v>231</v>
      </c>
      <c r="H47" s="176">
        <v>0.811</v>
      </c>
      <c r="I47" s="172">
        <v>2.0751</v>
      </c>
      <c r="J47" s="173">
        <v>-0.23254728190222684</v>
      </c>
      <c r="K47" s="174"/>
      <c r="L47" s="184"/>
    </row>
    <row r="48" spans="1:12" ht="30" customHeight="1">
      <c r="A48" s="168"/>
      <c r="B48" s="168"/>
      <c r="C48" s="168"/>
      <c r="D48" s="168"/>
      <c r="E48" s="169"/>
      <c r="F48" s="254"/>
      <c r="G48" s="168"/>
      <c r="H48" s="176"/>
      <c r="I48" s="172"/>
      <c r="J48" s="173"/>
      <c r="K48" s="174"/>
      <c r="L48" s="184"/>
    </row>
    <row r="49" spans="1:14" ht="30" customHeight="1">
      <c r="A49" s="168">
        <v>16</v>
      </c>
      <c r="B49" s="178" t="s">
        <v>154</v>
      </c>
      <c r="C49" s="168">
        <v>2023</v>
      </c>
      <c r="D49" s="168">
        <v>29</v>
      </c>
      <c r="E49" s="169">
        <v>0</v>
      </c>
      <c r="F49" s="254">
        <f aca="true" t="shared" si="1" ref="F49:F56">E49+D49</f>
        <v>29</v>
      </c>
      <c r="G49" s="183" t="s">
        <v>232</v>
      </c>
      <c r="H49" s="176">
        <v>0.8189</v>
      </c>
      <c r="I49" s="172">
        <v>2.1597</v>
      </c>
      <c r="J49" s="173">
        <v>-0.3373365904259624</v>
      </c>
      <c r="K49" s="174">
        <v>1723</v>
      </c>
      <c r="L49" s="167" t="s">
        <v>157</v>
      </c>
      <c r="M49" s="148"/>
      <c r="N49" s="149"/>
    </row>
    <row r="50" spans="1:14" ht="30" customHeight="1">
      <c r="A50" s="168"/>
      <c r="B50" s="168"/>
      <c r="C50" s="168" t="s">
        <v>206</v>
      </c>
      <c r="D50" s="168">
        <v>286</v>
      </c>
      <c r="E50" s="169">
        <v>2</v>
      </c>
      <c r="F50" s="254">
        <f t="shared" si="1"/>
        <v>288</v>
      </c>
      <c r="G50" s="168" t="s">
        <v>233</v>
      </c>
      <c r="H50" s="176">
        <v>0.761</v>
      </c>
      <c r="I50" s="172">
        <v>1.9391</v>
      </c>
      <c r="J50" s="173">
        <v>-0.12598229613781375</v>
      </c>
      <c r="K50" s="174" t="s">
        <v>56</v>
      </c>
      <c r="L50" s="184"/>
      <c r="M50" s="148"/>
      <c r="N50" s="149"/>
    </row>
    <row r="51" spans="1:12" ht="30" customHeight="1">
      <c r="A51" s="168"/>
      <c r="B51" s="168"/>
      <c r="C51" s="168"/>
      <c r="D51" s="168"/>
      <c r="E51" s="169"/>
      <c r="F51" s="254"/>
      <c r="G51" s="168"/>
      <c r="H51" s="176"/>
      <c r="I51" s="172"/>
      <c r="J51" s="173"/>
      <c r="K51" s="174"/>
      <c r="L51" s="184"/>
    </row>
    <row r="52" spans="1:12" ht="30" customHeight="1">
      <c r="A52" s="168">
        <v>17</v>
      </c>
      <c r="B52" s="182" t="s">
        <v>46</v>
      </c>
      <c r="C52" s="143">
        <v>2023</v>
      </c>
      <c r="D52" s="168">
        <v>20</v>
      </c>
      <c r="E52" s="169">
        <v>8</v>
      </c>
      <c r="F52" s="170">
        <f t="shared" si="1"/>
        <v>28</v>
      </c>
      <c r="G52" s="183" t="s">
        <v>163</v>
      </c>
      <c r="H52" s="171">
        <v>0.7116</v>
      </c>
      <c r="I52" s="172">
        <v>0.518</v>
      </c>
      <c r="J52" s="144">
        <v>0.04665121697091959</v>
      </c>
      <c r="K52" s="174">
        <v>3478</v>
      </c>
      <c r="L52" s="167" t="s">
        <v>157</v>
      </c>
    </row>
    <row r="53" spans="1:12" ht="30" customHeight="1">
      <c r="A53" s="168"/>
      <c r="B53" s="168"/>
      <c r="C53" s="168" t="s">
        <v>162</v>
      </c>
      <c r="D53" s="168">
        <v>486</v>
      </c>
      <c r="E53" s="169">
        <v>30</v>
      </c>
      <c r="F53" s="170">
        <f t="shared" si="1"/>
        <v>516</v>
      </c>
      <c r="G53" s="170" t="s">
        <v>245</v>
      </c>
      <c r="H53" s="203">
        <v>0.6932</v>
      </c>
      <c r="I53" s="172">
        <v>1.4658</v>
      </c>
      <c r="J53" s="149">
        <v>-0.1081281695544162</v>
      </c>
      <c r="K53" s="174"/>
      <c r="L53" s="184"/>
    </row>
    <row r="54" spans="1:14" ht="30" customHeight="1">
      <c r="A54" s="168"/>
      <c r="B54" s="168"/>
      <c r="C54" s="168"/>
      <c r="D54" s="168"/>
      <c r="E54" s="169"/>
      <c r="F54" s="254"/>
      <c r="G54" s="168"/>
      <c r="H54" s="176"/>
      <c r="I54" s="172"/>
      <c r="J54" s="173"/>
      <c r="K54" s="174"/>
      <c r="L54" s="184"/>
      <c r="M54" s="146"/>
      <c r="N54" s="146"/>
    </row>
    <row r="55" spans="1:14" ht="30" customHeight="1">
      <c r="A55" s="168">
        <v>18</v>
      </c>
      <c r="B55" s="182" t="s">
        <v>16</v>
      </c>
      <c r="C55" s="143">
        <v>2023</v>
      </c>
      <c r="D55" s="168">
        <v>34</v>
      </c>
      <c r="E55" s="169">
        <v>0</v>
      </c>
      <c r="F55" s="254">
        <f t="shared" si="1"/>
        <v>34</v>
      </c>
      <c r="G55" s="179" t="s">
        <v>160</v>
      </c>
      <c r="H55" s="176">
        <v>0.8953</v>
      </c>
      <c r="I55" s="172">
        <v>1.7245</v>
      </c>
      <c r="J55" s="173">
        <v>-0.5967078548417458</v>
      </c>
      <c r="K55" s="174">
        <v>8924</v>
      </c>
      <c r="L55" s="167" t="s">
        <v>157</v>
      </c>
      <c r="M55" s="146"/>
      <c r="N55" s="146"/>
    </row>
    <row r="56" spans="1:14" ht="30" customHeight="1">
      <c r="A56" s="168"/>
      <c r="B56" s="168"/>
      <c r="C56" s="168" t="s">
        <v>175</v>
      </c>
      <c r="D56" s="168">
        <v>504</v>
      </c>
      <c r="E56" s="169">
        <v>8</v>
      </c>
      <c r="F56" s="254">
        <f t="shared" si="1"/>
        <v>512</v>
      </c>
      <c r="G56" s="170" t="s">
        <v>161</v>
      </c>
      <c r="H56" s="176">
        <v>0.8541</v>
      </c>
      <c r="I56" s="172">
        <v>1.6667</v>
      </c>
      <c r="J56" s="173">
        <v>-0.4209026734473562</v>
      </c>
      <c r="K56" s="174"/>
      <c r="L56" s="184"/>
      <c r="M56" s="146"/>
      <c r="N56" s="146"/>
    </row>
    <row r="57" spans="1:12" ht="30" customHeight="1">
      <c r="A57" s="168"/>
      <c r="B57" s="168"/>
      <c r="C57" s="168"/>
      <c r="D57" s="168"/>
      <c r="E57" s="169"/>
      <c r="F57" s="254"/>
      <c r="G57" s="168"/>
      <c r="H57" s="176"/>
      <c r="I57" s="172"/>
      <c r="J57" s="173"/>
      <c r="K57" s="174"/>
      <c r="L57" s="184"/>
    </row>
    <row r="58" spans="1:12" ht="30" customHeight="1">
      <c r="A58" s="168">
        <v>19</v>
      </c>
      <c r="B58" s="182" t="s">
        <v>24</v>
      </c>
      <c r="C58" s="168">
        <v>2023</v>
      </c>
      <c r="D58" s="168">
        <v>16</v>
      </c>
      <c r="E58" s="169">
        <v>8</v>
      </c>
      <c r="F58" s="254">
        <f>E58+D58</f>
        <v>24</v>
      </c>
      <c r="G58" s="179" t="s">
        <v>243</v>
      </c>
      <c r="H58" s="176">
        <v>0.7095</v>
      </c>
      <c r="I58" s="172">
        <v>0.8494</v>
      </c>
      <c r="J58" s="173">
        <v>0.14606598917739624</v>
      </c>
      <c r="K58" s="174">
        <v>1392</v>
      </c>
      <c r="L58" s="167" t="s">
        <v>157</v>
      </c>
    </row>
    <row r="59" spans="1:12" ht="30" customHeight="1">
      <c r="A59" s="168"/>
      <c r="B59" s="168"/>
      <c r="C59" s="168" t="s">
        <v>164</v>
      </c>
      <c r="D59" s="168">
        <v>591</v>
      </c>
      <c r="E59" s="169">
        <v>50</v>
      </c>
      <c r="F59" s="254">
        <f>E59+D59</f>
        <v>641</v>
      </c>
      <c r="G59" s="168" t="s">
        <v>244</v>
      </c>
      <c r="H59" s="176">
        <v>0.6945</v>
      </c>
      <c r="I59" s="172">
        <v>1.3523</v>
      </c>
      <c r="J59" s="173">
        <v>0.12149418624166523</v>
      </c>
      <c r="K59" s="174"/>
      <c r="L59" s="184"/>
    </row>
    <row r="60" spans="1:12" ht="30" customHeight="1">
      <c r="A60" s="168"/>
      <c r="B60" s="168"/>
      <c r="C60" s="168"/>
      <c r="D60" s="168"/>
      <c r="E60" s="169"/>
      <c r="F60" s="254"/>
      <c r="G60" s="168"/>
      <c r="H60" s="176"/>
      <c r="I60" s="172"/>
      <c r="J60" s="173"/>
      <c r="K60" s="174"/>
      <c r="L60" s="184"/>
    </row>
    <row r="61" spans="1:12" ht="30" customHeight="1">
      <c r="A61" s="168">
        <v>20</v>
      </c>
      <c r="B61" s="178" t="s">
        <v>17</v>
      </c>
      <c r="C61" s="168">
        <v>2023</v>
      </c>
      <c r="D61" s="168">
        <v>31</v>
      </c>
      <c r="E61" s="169">
        <v>0</v>
      </c>
      <c r="F61" s="254">
        <f>E61+D61</f>
        <v>31</v>
      </c>
      <c r="G61" s="179" t="s">
        <v>165</v>
      </c>
      <c r="H61" s="176">
        <v>0.763</v>
      </c>
      <c r="I61" s="172">
        <v>1.6305</v>
      </c>
      <c r="J61" s="173">
        <v>0.16253453654935593</v>
      </c>
      <c r="K61" s="174">
        <v>726</v>
      </c>
      <c r="L61" s="167" t="s">
        <v>157</v>
      </c>
    </row>
    <row r="62" spans="1:13" ht="30" customHeight="1">
      <c r="A62" s="168"/>
      <c r="B62" s="168"/>
      <c r="C62" s="168" t="s">
        <v>166</v>
      </c>
      <c r="D62" s="168">
        <v>767</v>
      </c>
      <c r="E62" s="169">
        <v>18</v>
      </c>
      <c r="F62" s="254">
        <f>E62+D62</f>
        <v>785</v>
      </c>
      <c r="G62" s="170" t="s">
        <v>167</v>
      </c>
      <c r="H62" s="171">
        <v>0.8355</v>
      </c>
      <c r="I62" s="204">
        <v>1.5827</v>
      </c>
      <c r="J62" s="149">
        <v>0.31973049433022455</v>
      </c>
      <c r="K62" s="174"/>
      <c r="L62" s="184"/>
      <c r="M62" s="147"/>
    </row>
    <row r="63" spans="1:12" ht="30" customHeight="1">
      <c r="A63" s="168"/>
      <c r="B63" s="168"/>
      <c r="C63" s="168"/>
      <c r="D63" s="168"/>
      <c r="E63" s="169"/>
      <c r="F63" s="254"/>
      <c r="G63" s="168"/>
      <c r="H63" s="176"/>
      <c r="I63" s="172"/>
      <c r="J63" s="173"/>
      <c r="K63" s="174"/>
      <c r="L63" s="184"/>
    </row>
    <row r="64" spans="1:12" ht="30" customHeight="1">
      <c r="A64" s="205">
        <v>21</v>
      </c>
      <c r="B64" s="182" t="s">
        <v>53</v>
      </c>
      <c r="C64" s="168">
        <v>2023</v>
      </c>
      <c r="D64" s="168">
        <v>29</v>
      </c>
      <c r="E64" s="169">
        <v>0</v>
      </c>
      <c r="F64" s="254">
        <f>E64+D64</f>
        <v>29</v>
      </c>
      <c r="G64" s="179" t="s">
        <v>178</v>
      </c>
      <c r="H64" s="176">
        <v>0.9445</v>
      </c>
      <c r="I64" s="172">
        <v>1.4666</v>
      </c>
      <c r="J64" s="173">
        <v>0.7293511074275281</v>
      </c>
      <c r="K64" s="174">
        <v>762</v>
      </c>
      <c r="L64" s="167" t="s">
        <v>157</v>
      </c>
    </row>
    <row r="65" spans="1:12" ht="30" customHeight="1">
      <c r="A65" s="205"/>
      <c r="B65" s="168"/>
      <c r="C65" s="168" t="s">
        <v>180</v>
      </c>
      <c r="D65" s="168">
        <v>428</v>
      </c>
      <c r="E65" s="169">
        <v>0</v>
      </c>
      <c r="F65" s="254">
        <f>E65+D65</f>
        <v>428</v>
      </c>
      <c r="G65" s="168" t="s">
        <v>179</v>
      </c>
      <c r="H65" s="176">
        <v>0.909</v>
      </c>
      <c r="I65" s="172">
        <v>1.4554</v>
      </c>
      <c r="J65" s="173">
        <v>0.5993262072077138</v>
      </c>
      <c r="K65" s="174"/>
      <c r="L65" s="175"/>
    </row>
    <row r="66" spans="1:12" ht="30" customHeight="1">
      <c r="A66" s="205"/>
      <c r="B66" s="168"/>
      <c r="C66" s="168"/>
      <c r="D66" s="168"/>
      <c r="E66" s="169"/>
      <c r="F66" s="254"/>
      <c r="G66" s="168"/>
      <c r="H66" s="176"/>
      <c r="I66" s="172"/>
      <c r="J66" s="173"/>
      <c r="K66" s="174"/>
      <c r="L66" s="175"/>
    </row>
    <row r="67" spans="1:14" s="151" customFormat="1" ht="30" customHeight="1">
      <c r="A67" s="205">
        <v>22</v>
      </c>
      <c r="B67" s="178" t="s">
        <v>18</v>
      </c>
      <c r="C67" s="168">
        <v>2023</v>
      </c>
      <c r="D67" s="168">
        <v>35</v>
      </c>
      <c r="E67" s="169">
        <v>0</v>
      </c>
      <c r="F67" s="254">
        <f aca="true" t="shared" si="2" ref="F67:F77">E67+D67</f>
        <v>35</v>
      </c>
      <c r="G67" s="183" t="s">
        <v>242</v>
      </c>
      <c r="H67" s="171">
        <v>0.9096</v>
      </c>
      <c r="I67" s="172">
        <v>1.616</v>
      </c>
      <c r="J67" s="173">
        <v>-0.12977172098820555</v>
      </c>
      <c r="K67" s="174">
        <v>7749</v>
      </c>
      <c r="L67" s="167" t="s">
        <v>157</v>
      </c>
      <c r="M67" s="150"/>
      <c r="N67" s="144"/>
    </row>
    <row r="68" spans="1:14" s="151" customFormat="1" ht="30" customHeight="1">
      <c r="A68" s="205"/>
      <c r="B68" s="168"/>
      <c r="C68" s="168" t="s">
        <v>169</v>
      </c>
      <c r="D68" s="168">
        <v>808</v>
      </c>
      <c r="E68" s="169">
        <v>39</v>
      </c>
      <c r="F68" s="254">
        <f t="shared" si="2"/>
        <v>847</v>
      </c>
      <c r="G68" s="170" t="s">
        <v>174</v>
      </c>
      <c r="H68" s="171">
        <v>0.9245</v>
      </c>
      <c r="I68" s="172">
        <v>1.5301</v>
      </c>
      <c r="J68" s="173">
        <v>0.1615776110488706</v>
      </c>
      <c r="K68" s="174"/>
      <c r="L68" s="206"/>
      <c r="M68" s="152"/>
      <c r="N68" s="144"/>
    </row>
    <row r="69" spans="1:14" s="151" customFormat="1" ht="30" customHeight="1">
      <c r="A69" s="207"/>
      <c r="B69" s="168"/>
      <c r="C69" s="168"/>
      <c r="D69" s="168"/>
      <c r="E69" s="169"/>
      <c r="F69" s="254"/>
      <c r="G69" s="168"/>
      <c r="H69" s="176"/>
      <c r="I69" s="172"/>
      <c r="J69" s="173"/>
      <c r="K69" s="174"/>
      <c r="L69" s="206"/>
      <c r="M69" s="152"/>
      <c r="N69" s="144"/>
    </row>
    <row r="70" spans="1:14" s="151" customFormat="1" ht="30" customHeight="1">
      <c r="A70" s="205">
        <v>23</v>
      </c>
      <c r="B70" s="208" t="s">
        <v>47</v>
      </c>
      <c r="C70" s="205">
        <v>2023</v>
      </c>
      <c r="D70" s="205">
        <v>35</v>
      </c>
      <c r="E70" s="209">
        <v>0</v>
      </c>
      <c r="F70" s="254">
        <f t="shared" si="2"/>
        <v>35</v>
      </c>
      <c r="G70" s="183" t="s">
        <v>172</v>
      </c>
      <c r="H70" s="210">
        <v>0.9289</v>
      </c>
      <c r="I70" s="211">
        <v>1.9241</v>
      </c>
      <c r="J70" s="173">
        <v>-0.3347005005001029</v>
      </c>
      <c r="K70" s="212">
        <v>5394</v>
      </c>
      <c r="L70" s="167" t="s">
        <v>157</v>
      </c>
      <c r="M70" s="152"/>
      <c r="N70" s="144"/>
    </row>
    <row r="71" spans="1:14" s="151" customFormat="1" ht="30" customHeight="1">
      <c r="A71" s="205"/>
      <c r="B71" s="205"/>
      <c r="C71" s="205" t="s">
        <v>171</v>
      </c>
      <c r="D71" s="205">
        <v>564</v>
      </c>
      <c r="E71" s="209">
        <v>1</v>
      </c>
      <c r="F71" s="254">
        <f t="shared" si="2"/>
        <v>565</v>
      </c>
      <c r="G71" s="170" t="s">
        <v>173</v>
      </c>
      <c r="H71" s="171">
        <v>0.8766</v>
      </c>
      <c r="I71" s="211">
        <v>1.7253</v>
      </c>
      <c r="J71" s="173">
        <v>-0.10601643278815294</v>
      </c>
      <c r="K71" s="212"/>
      <c r="L71" s="206"/>
      <c r="M71" s="152"/>
      <c r="N71" s="144"/>
    </row>
    <row r="72" spans="1:14" s="151" customFormat="1" ht="30" customHeight="1">
      <c r="A72" s="205"/>
      <c r="B72" s="205"/>
      <c r="C72" s="205"/>
      <c r="D72" s="205"/>
      <c r="E72" s="209"/>
      <c r="F72" s="254"/>
      <c r="G72" s="205"/>
      <c r="H72" s="213"/>
      <c r="I72" s="211"/>
      <c r="J72" s="173"/>
      <c r="K72" s="212"/>
      <c r="L72" s="214"/>
      <c r="M72" s="152"/>
      <c r="N72" s="144"/>
    </row>
    <row r="73" spans="1:14" s="151" customFormat="1" ht="30" customHeight="1">
      <c r="A73" s="205">
        <v>24</v>
      </c>
      <c r="B73" s="208" t="s">
        <v>60</v>
      </c>
      <c r="C73" s="205">
        <v>2023</v>
      </c>
      <c r="D73" s="205">
        <v>24</v>
      </c>
      <c r="E73" s="209">
        <v>0</v>
      </c>
      <c r="F73" s="170">
        <f t="shared" si="2"/>
        <v>24</v>
      </c>
      <c r="G73" s="183" t="s">
        <v>176</v>
      </c>
      <c r="H73" s="171">
        <v>0.8915</v>
      </c>
      <c r="I73" s="211">
        <v>1.6892</v>
      </c>
      <c r="J73" s="173">
        <v>0.4395379481654137</v>
      </c>
      <c r="K73" s="212">
        <v>590</v>
      </c>
      <c r="L73" s="167" t="s">
        <v>157</v>
      </c>
      <c r="M73" s="150"/>
      <c r="N73" s="144"/>
    </row>
    <row r="74" spans="1:14" s="151" customFormat="1" ht="30" customHeight="1">
      <c r="A74" s="205"/>
      <c r="B74" s="205"/>
      <c r="C74" s="205" t="s">
        <v>175</v>
      </c>
      <c r="D74" s="205">
        <v>190</v>
      </c>
      <c r="E74" s="209">
        <v>6</v>
      </c>
      <c r="F74" s="170">
        <f t="shared" si="2"/>
        <v>196</v>
      </c>
      <c r="G74" s="170" t="s">
        <v>177</v>
      </c>
      <c r="H74" s="213">
        <v>0.8731</v>
      </c>
      <c r="I74" s="211">
        <v>1.6897</v>
      </c>
      <c r="J74" s="173">
        <v>0.47591804143946814</v>
      </c>
      <c r="K74" s="212"/>
      <c r="L74" s="215"/>
      <c r="M74" s="150"/>
      <c r="N74" s="144"/>
    </row>
    <row r="75" spans="1:14" s="151" customFormat="1" ht="30" customHeight="1">
      <c r="A75" s="205"/>
      <c r="B75" s="205"/>
      <c r="C75" s="205"/>
      <c r="D75" s="205"/>
      <c r="E75" s="209"/>
      <c r="F75" s="254"/>
      <c r="G75" s="205"/>
      <c r="H75" s="213"/>
      <c r="I75" s="211"/>
      <c r="J75" s="173"/>
      <c r="K75" s="212"/>
      <c r="L75" s="206"/>
      <c r="M75" s="152"/>
      <c r="N75" s="144"/>
    </row>
    <row r="76" spans="1:14" s="151" customFormat="1" ht="30" customHeight="1">
      <c r="A76" s="205">
        <v>25</v>
      </c>
      <c r="B76" s="208" t="s">
        <v>48</v>
      </c>
      <c r="C76" s="168">
        <v>2023</v>
      </c>
      <c r="D76" s="168">
        <v>34</v>
      </c>
      <c r="E76" s="169">
        <v>0</v>
      </c>
      <c r="F76" s="254">
        <f>E76+D76</f>
        <v>34</v>
      </c>
      <c r="G76" s="183" t="s">
        <v>168</v>
      </c>
      <c r="H76" s="171">
        <v>0.9728</v>
      </c>
      <c r="I76" s="172">
        <v>1.6442</v>
      </c>
      <c r="J76" s="173">
        <v>-0.29576366269121235</v>
      </c>
      <c r="K76" s="212">
        <v>10305</v>
      </c>
      <c r="L76" s="167" t="s">
        <v>157</v>
      </c>
      <c r="M76" s="152"/>
      <c r="N76" s="144"/>
    </row>
    <row r="77" spans="1:14" s="151" customFormat="1" ht="30" customHeight="1">
      <c r="A77" s="216"/>
      <c r="B77" s="205"/>
      <c r="C77" s="205" t="s">
        <v>159</v>
      </c>
      <c r="D77" s="205">
        <v>523</v>
      </c>
      <c r="E77" s="209">
        <v>1</v>
      </c>
      <c r="F77" s="254">
        <f t="shared" si="2"/>
        <v>524</v>
      </c>
      <c r="G77" s="170" t="s">
        <v>170</v>
      </c>
      <c r="H77" s="171">
        <v>0.8682</v>
      </c>
      <c r="I77" s="211">
        <v>1.5953</v>
      </c>
      <c r="J77" s="173">
        <v>-0.1767866867173325</v>
      </c>
      <c r="K77" s="212"/>
      <c r="L77" s="206"/>
      <c r="M77" s="150"/>
      <c r="N77" s="144"/>
    </row>
    <row r="78" spans="1:14" s="151" customFormat="1" ht="30" customHeight="1">
      <c r="A78" s="205"/>
      <c r="B78" s="205"/>
      <c r="C78" s="205"/>
      <c r="D78" s="205"/>
      <c r="E78" s="209"/>
      <c r="F78" s="254"/>
      <c r="G78" s="205"/>
      <c r="H78" s="213"/>
      <c r="I78" s="211"/>
      <c r="J78" s="223"/>
      <c r="K78" s="212"/>
      <c r="L78" s="206"/>
      <c r="M78" s="152"/>
      <c r="N78" s="144"/>
    </row>
    <row r="79" spans="1:14" s="151" customFormat="1" ht="30" customHeight="1">
      <c r="A79" s="216">
        <v>26</v>
      </c>
      <c r="B79" s="208" t="s">
        <v>61</v>
      </c>
      <c r="C79" s="205">
        <v>2023</v>
      </c>
      <c r="D79" s="205">
        <v>24</v>
      </c>
      <c r="E79" s="209">
        <v>0</v>
      </c>
      <c r="F79" s="254">
        <f aca="true" t="shared" si="3" ref="F79:F104">E79+D79</f>
        <v>24</v>
      </c>
      <c r="G79" s="222" t="s">
        <v>182</v>
      </c>
      <c r="H79" s="213">
        <v>0.7857</v>
      </c>
      <c r="I79" s="211">
        <v>1.3484</v>
      </c>
      <c r="J79" s="223">
        <v>0.2814651731995283</v>
      </c>
      <c r="K79" s="212">
        <v>124</v>
      </c>
      <c r="L79" s="167" t="s">
        <v>157</v>
      </c>
      <c r="M79" s="152"/>
      <c r="N79" s="144"/>
    </row>
    <row r="80" spans="1:14" s="151" customFormat="1" ht="30" customHeight="1">
      <c r="A80" s="216"/>
      <c r="B80" s="205"/>
      <c r="C80" s="205" t="s">
        <v>181</v>
      </c>
      <c r="D80" s="205">
        <v>129</v>
      </c>
      <c r="E80" s="209">
        <v>7</v>
      </c>
      <c r="F80" s="254">
        <f t="shared" si="3"/>
        <v>136</v>
      </c>
      <c r="G80" s="205" t="s">
        <v>183</v>
      </c>
      <c r="H80" s="213">
        <v>0.8599</v>
      </c>
      <c r="I80" s="211">
        <v>1.6187</v>
      </c>
      <c r="J80" s="223">
        <v>0.398183145509941</v>
      </c>
      <c r="K80" s="212"/>
      <c r="L80" s="206"/>
      <c r="M80" s="152"/>
      <c r="N80" s="144"/>
    </row>
    <row r="81" spans="1:14" s="151" customFormat="1" ht="30" customHeight="1">
      <c r="A81" s="205"/>
      <c r="B81" s="207"/>
      <c r="C81" s="207"/>
      <c r="D81" s="207"/>
      <c r="E81" s="217"/>
      <c r="F81" s="254"/>
      <c r="G81" s="207"/>
      <c r="H81" s="218"/>
      <c r="I81" s="219"/>
      <c r="J81" s="220"/>
      <c r="K81" s="221"/>
      <c r="L81" s="206"/>
      <c r="M81" s="152"/>
      <c r="N81" s="153"/>
    </row>
    <row r="82" spans="1:14" s="151" customFormat="1" ht="30" customHeight="1">
      <c r="A82" s="205">
        <v>27</v>
      </c>
      <c r="B82" s="208" t="s">
        <v>49</v>
      </c>
      <c r="C82" s="205">
        <v>2023</v>
      </c>
      <c r="D82" s="205">
        <v>35</v>
      </c>
      <c r="E82" s="209">
        <v>0</v>
      </c>
      <c r="F82" s="254">
        <f t="shared" si="3"/>
        <v>35</v>
      </c>
      <c r="G82" s="222" t="s">
        <v>187</v>
      </c>
      <c r="H82" s="213">
        <v>0.9045</v>
      </c>
      <c r="I82" s="211">
        <v>1.7997</v>
      </c>
      <c r="J82" s="223">
        <v>-0.6254349392772349</v>
      </c>
      <c r="K82" s="212">
        <v>4560</v>
      </c>
      <c r="L82" s="167" t="s">
        <v>157</v>
      </c>
      <c r="M82" s="152"/>
      <c r="N82" s="153"/>
    </row>
    <row r="83" spans="1:14" s="151" customFormat="1" ht="30" customHeight="1">
      <c r="A83" s="205"/>
      <c r="B83" s="205"/>
      <c r="C83" s="205" t="s">
        <v>186</v>
      </c>
      <c r="D83" s="205">
        <v>555</v>
      </c>
      <c r="E83" s="209">
        <v>9</v>
      </c>
      <c r="F83" s="254">
        <f t="shared" si="3"/>
        <v>564</v>
      </c>
      <c r="G83" s="224" t="s">
        <v>188</v>
      </c>
      <c r="H83" s="225">
        <v>0.8492</v>
      </c>
      <c r="I83" s="226">
        <v>1.8697</v>
      </c>
      <c r="J83" s="227">
        <v>-0.6893066876566394</v>
      </c>
      <c r="K83" s="221"/>
      <c r="L83" s="215"/>
      <c r="M83" s="152"/>
      <c r="N83" s="153"/>
    </row>
    <row r="84" spans="1:14" s="151" customFormat="1" ht="30" customHeight="1">
      <c r="A84" s="216"/>
      <c r="B84" s="205"/>
      <c r="C84" s="205"/>
      <c r="D84" s="205"/>
      <c r="E84" s="209"/>
      <c r="F84" s="254"/>
      <c r="G84" s="205"/>
      <c r="H84" s="213"/>
      <c r="I84" s="211"/>
      <c r="J84" s="223"/>
      <c r="K84" s="212"/>
      <c r="L84" s="206"/>
      <c r="M84" s="152"/>
      <c r="N84" s="153"/>
    </row>
    <row r="85" spans="1:14" s="151" customFormat="1" ht="30" customHeight="1">
      <c r="A85" s="205">
        <v>28</v>
      </c>
      <c r="B85" s="228" t="s">
        <v>50</v>
      </c>
      <c r="C85" s="216">
        <v>2023</v>
      </c>
      <c r="D85" s="216">
        <v>35</v>
      </c>
      <c r="E85" s="229">
        <v>0</v>
      </c>
      <c r="F85" s="254">
        <f t="shared" si="3"/>
        <v>35</v>
      </c>
      <c r="G85" s="230" t="s">
        <v>189</v>
      </c>
      <c r="H85" s="231">
        <v>0.8949</v>
      </c>
      <c r="I85" s="232">
        <v>1.9039</v>
      </c>
      <c r="J85" s="233">
        <v>-0.5138530031934273</v>
      </c>
      <c r="K85" s="234">
        <v>3476</v>
      </c>
      <c r="L85" s="167" t="s">
        <v>157</v>
      </c>
      <c r="M85" s="152"/>
      <c r="N85" s="153"/>
    </row>
    <row r="86" spans="1:14" s="151" customFormat="1" ht="30" customHeight="1">
      <c r="A86" s="205"/>
      <c r="B86" s="216"/>
      <c r="C86" s="216" t="s">
        <v>159</v>
      </c>
      <c r="D86" s="216">
        <v>545</v>
      </c>
      <c r="E86" s="229">
        <v>8</v>
      </c>
      <c r="F86" s="254">
        <f t="shared" si="3"/>
        <v>553</v>
      </c>
      <c r="G86" s="235" t="s">
        <v>190</v>
      </c>
      <c r="H86" s="231">
        <v>0.8287</v>
      </c>
      <c r="I86" s="232">
        <v>1.8555</v>
      </c>
      <c r="J86" s="233">
        <v>-0.5291486754738823</v>
      </c>
      <c r="K86" s="234"/>
      <c r="L86" s="206"/>
      <c r="M86" s="152"/>
      <c r="N86" s="153"/>
    </row>
    <row r="87" spans="1:14" s="151" customFormat="1" ht="30" customHeight="1">
      <c r="A87" s="205"/>
      <c r="B87" s="205"/>
      <c r="C87" s="205"/>
      <c r="D87" s="205"/>
      <c r="E87" s="209"/>
      <c r="F87" s="254"/>
      <c r="G87" s="205"/>
      <c r="H87" s="213"/>
      <c r="I87" s="211"/>
      <c r="J87" s="223"/>
      <c r="K87" s="212"/>
      <c r="L87" s="206"/>
      <c r="M87" s="152"/>
      <c r="N87" s="153"/>
    </row>
    <row r="88" spans="1:14" s="151" customFormat="1" ht="30" customHeight="1">
      <c r="A88" s="205">
        <v>29</v>
      </c>
      <c r="B88" s="208" t="s">
        <v>54</v>
      </c>
      <c r="C88" s="205">
        <v>2023</v>
      </c>
      <c r="D88" s="205">
        <v>33</v>
      </c>
      <c r="E88" s="209">
        <v>0</v>
      </c>
      <c r="F88" s="254">
        <f t="shared" si="3"/>
        <v>33</v>
      </c>
      <c r="G88" s="222" t="s">
        <v>191</v>
      </c>
      <c r="H88" s="213">
        <v>0.7797</v>
      </c>
      <c r="I88" s="211">
        <v>1.8175</v>
      </c>
      <c r="J88" s="223">
        <v>-0.17750501472124922</v>
      </c>
      <c r="K88" s="212">
        <v>620.7</v>
      </c>
      <c r="L88" s="167" t="s">
        <v>157</v>
      </c>
      <c r="M88" s="150"/>
      <c r="N88" s="153"/>
    </row>
    <row r="89" spans="1:14" s="151" customFormat="1" ht="30" customHeight="1">
      <c r="A89" s="205"/>
      <c r="B89" s="205"/>
      <c r="C89" s="205" t="s">
        <v>175</v>
      </c>
      <c r="D89" s="205">
        <v>494</v>
      </c>
      <c r="E89" s="209">
        <v>14</v>
      </c>
      <c r="F89" s="254">
        <f t="shared" si="3"/>
        <v>508</v>
      </c>
      <c r="G89" s="205" t="s">
        <v>192</v>
      </c>
      <c r="H89" s="213">
        <v>0.7582</v>
      </c>
      <c r="I89" s="211">
        <v>1.7242</v>
      </c>
      <c r="J89" s="223">
        <v>-0.18078520011761592</v>
      </c>
      <c r="K89" s="212"/>
      <c r="L89" s="206"/>
      <c r="M89" s="152"/>
      <c r="N89" s="153"/>
    </row>
    <row r="90" spans="1:14" s="151" customFormat="1" ht="30" customHeight="1">
      <c r="A90" s="205"/>
      <c r="B90" s="205"/>
      <c r="C90" s="205"/>
      <c r="D90" s="205"/>
      <c r="E90" s="209"/>
      <c r="F90" s="254"/>
      <c r="G90" s="205"/>
      <c r="H90" s="213"/>
      <c r="I90" s="211"/>
      <c r="J90" s="223"/>
      <c r="K90" s="212"/>
      <c r="L90" s="206"/>
      <c r="M90" s="152"/>
      <c r="N90" s="153"/>
    </row>
    <row r="91" spans="1:14" s="151" customFormat="1" ht="30" customHeight="1">
      <c r="A91" s="205">
        <v>30</v>
      </c>
      <c r="B91" s="208" t="s">
        <v>62</v>
      </c>
      <c r="C91" s="205">
        <v>2023</v>
      </c>
      <c r="D91" s="205">
        <v>34</v>
      </c>
      <c r="E91" s="209">
        <v>0</v>
      </c>
      <c r="F91" s="254">
        <f t="shared" si="3"/>
        <v>34</v>
      </c>
      <c r="G91" s="183" t="s">
        <v>193</v>
      </c>
      <c r="H91" s="171">
        <v>0.9182</v>
      </c>
      <c r="I91" s="211">
        <v>1.7401</v>
      </c>
      <c r="J91" s="223">
        <v>-0.35115229162710637</v>
      </c>
      <c r="K91" s="212">
        <v>2170</v>
      </c>
      <c r="L91" s="167" t="s">
        <v>157</v>
      </c>
      <c r="M91" s="152"/>
      <c r="N91" s="153"/>
    </row>
    <row r="92" spans="1:14" s="151" customFormat="1" ht="30" customHeight="1">
      <c r="A92" s="205"/>
      <c r="B92" s="205"/>
      <c r="C92" s="205" t="s">
        <v>181</v>
      </c>
      <c r="D92" s="205">
        <v>183</v>
      </c>
      <c r="E92" s="209">
        <v>6</v>
      </c>
      <c r="F92" s="254">
        <f t="shared" si="3"/>
        <v>189</v>
      </c>
      <c r="G92" s="170" t="s">
        <v>194</v>
      </c>
      <c r="H92" s="171">
        <v>0.8496</v>
      </c>
      <c r="I92" s="211">
        <v>1.8291</v>
      </c>
      <c r="J92" s="223">
        <v>-0.486516043295743</v>
      </c>
      <c r="K92" s="212"/>
      <c r="L92" s="206"/>
      <c r="M92" s="152"/>
      <c r="N92" s="153"/>
    </row>
    <row r="93" spans="1:14" s="151" customFormat="1" ht="30" customHeight="1">
      <c r="A93" s="205"/>
      <c r="B93" s="205"/>
      <c r="C93" s="205"/>
      <c r="D93" s="205"/>
      <c r="E93" s="209"/>
      <c r="F93" s="254"/>
      <c r="G93" s="205"/>
      <c r="H93" s="213"/>
      <c r="I93" s="211"/>
      <c r="J93" s="223"/>
      <c r="K93" s="212"/>
      <c r="L93" s="206"/>
      <c r="M93" s="152"/>
      <c r="N93" s="153"/>
    </row>
    <row r="94" spans="1:14" s="151" customFormat="1" ht="30" customHeight="1">
      <c r="A94" s="236">
        <v>31</v>
      </c>
      <c r="B94" s="208" t="s">
        <v>27</v>
      </c>
      <c r="C94" s="205">
        <v>2023</v>
      </c>
      <c r="D94" s="205">
        <v>31</v>
      </c>
      <c r="E94" s="209">
        <v>0</v>
      </c>
      <c r="F94" s="254">
        <f t="shared" si="3"/>
        <v>31</v>
      </c>
      <c r="G94" s="222" t="s">
        <v>184</v>
      </c>
      <c r="H94" s="213">
        <v>0.9442</v>
      </c>
      <c r="I94" s="211">
        <v>1.495</v>
      </c>
      <c r="J94" s="223">
        <v>0.584365152298637</v>
      </c>
      <c r="K94" s="212">
        <v>2909</v>
      </c>
      <c r="L94" s="167" t="s">
        <v>157</v>
      </c>
      <c r="M94" s="152"/>
      <c r="N94" s="153"/>
    </row>
    <row r="95" spans="1:14" s="151" customFormat="1" ht="30" customHeight="1">
      <c r="A95" s="236"/>
      <c r="B95" s="205"/>
      <c r="C95" s="205" t="s">
        <v>169</v>
      </c>
      <c r="D95" s="205">
        <v>336</v>
      </c>
      <c r="E95" s="209">
        <v>0</v>
      </c>
      <c r="F95" s="254">
        <f t="shared" si="3"/>
        <v>336</v>
      </c>
      <c r="G95" s="185" t="s">
        <v>185</v>
      </c>
      <c r="H95" s="213">
        <v>0.9408</v>
      </c>
      <c r="I95" s="211">
        <v>1.5758</v>
      </c>
      <c r="J95" s="223">
        <v>0.36574998010488863</v>
      </c>
      <c r="K95" s="212"/>
      <c r="L95" s="206"/>
      <c r="M95" s="152"/>
      <c r="N95" s="153"/>
    </row>
    <row r="96" spans="1:14" s="151" customFormat="1" ht="30" customHeight="1">
      <c r="A96" s="236"/>
      <c r="B96" s="205"/>
      <c r="C96" s="205"/>
      <c r="D96" s="205"/>
      <c r="E96" s="209"/>
      <c r="F96" s="254"/>
      <c r="G96" s="185"/>
      <c r="H96" s="213"/>
      <c r="I96" s="211"/>
      <c r="J96" s="223"/>
      <c r="K96" s="212"/>
      <c r="L96" s="206"/>
      <c r="M96" s="152"/>
      <c r="N96" s="153"/>
    </row>
    <row r="97" spans="1:14" s="151" customFormat="1" ht="30" customHeight="1">
      <c r="A97" s="236">
        <v>32</v>
      </c>
      <c r="B97" s="208" t="s">
        <v>51</v>
      </c>
      <c r="C97" s="205">
        <v>2023</v>
      </c>
      <c r="D97" s="205">
        <v>25</v>
      </c>
      <c r="E97" s="209">
        <v>0</v>
      </c>
      <c r="F97" s="170">
        <f t="shared" si="3"/>
        <v>25</v>
      </c>
      <c r="G97" s="222" t="s">
        <v>196</v>
      </c>
      <c r="H97" s="213">
        <v>0.7034</v>
      </c>
      <c r="I97" s="211">
        <v>2.518</v>
      </c>
      <c r="J97" s="223">
        <v>-0.34843126113420814</v>
      </c>
      <c r="K97" s="212">
        <v>386</v>
      </c>
      <c r="L97" s="167" t="s">
        <v>157</v>
      </c>
      <c r="M97" s="150"/>
      <c r="N97" s="153"/>
    </row>
    <row r="98" spans="1:14" s="151" customFormat="1" ht="30" customHeight="1">
      <c r="A98" s="205"/>
      <c r="B98" s="205"/>
      <c r="C98" s="205" t="s">
        <v>197</v>
      </c>
      <c r="D98" s="205">
        <v>295</v>
      </c>
      <c r="E98" s="209">
        <v>4</v>
      </c>
      <c r="F98" s="170">
        <f t="shared" si="3"/>
        <v>299</v>
      </c>
      <c r="G98" s="185" t="s">
        <v>198</v>
      </c>
      <c r="H98" s="213">
        <v>0.7441</v>
      </c>
      <c r="I98" s="211">
        <v>2.2138</v>
      </c>
      <c r="J98" s="223">
        <v>-0.13164950035203168</v>
      </c>
      <c r="K98" s="212"/>
      <c r="L98" s="206"/>
      <c r="M98" s="152"/>
      <c r="N98" s="153"/>
    </row>
    <row r="99" spans="1:14" s="151" customFormat="1" ht="30" customHeight="1">
      <c r="A99" s="236"/>
      <c r="B99" s="205"/>
      <c r="C99" s="205"/>
      <c r="D99" s="205"/>
      <c r="E99" s="209"/>
      <c r="F99" s="254"/>
      <c r="G99" s="205"/>
      <c r="H99" s="213"/>
      <c r="I99" s="211"/>
      <c r="J99" s="223"/>
      <c r="K99" s="212"/>
      <c r="L99" s="206"/>
      <c r="M99" s="152"/>
      <c r="N99" s="153"/>
    </row>
    <row r="100" spans="1:14" s="151" customFormat="1" ht="30" customHeight="1">
      <c r="A100" s="236">
        <v>33</v>
      </c>
      <c r="B100" s="182" t="s">
        <v>30</v>
      </c>
      <c r="C100" s="205">
        <v>2023</v>
      </c>
      <c r="D100" s="205">
        <v>22</v>
      </c>
      <c r="E100" s="209">
        <v>0</v>
      </c>
      <c r="F100" s="254">
        <f t="shared" si="3"/>
        <v>22</v>
      </c>
      <c r="G100" s="222" t="s">
        <v>199</v>
      </c>
      <c r="H100" s="213">
        <v>0.9531</v>
      </c>
      <c r="I100" s="211">
        <v>1.1772</v>
      </c>
      <c r="J100" s="223">
        <v>0.4775842552772711</v>
      </c>
      <c r="K100" s="212">
        <v>6266</v>
      </c>
      <c r="L100" s="167" t="s">
        <v>157</v>
      </c>
      <c r="M100" s="150"/>
      <c r="N100" s="153"/>
    </row>
    <row r="101" spans="1:12" ht="30" customHeight="1">
      <c r="A101" s="236"/>
      <c r="B101" s="205"/>
      <c r="C101" s="205" t="s">
        <v>195</v>
      </c>
      <c r="D101" s="205">
        <v>289</v>
      </c>
      <c r="E101" s="209">
        <v>6</v>
      </c>
      <c r="F101" s="254">
        <f t="shared" si="3"/>
        <v>295</v>
      </c>
      <c r="G101" s="205" t="s">
        <v>200</v>
      </c>
      <c r="H101" s="213">
        <v>0.906</v>
      </c>
      <c r="I101" s="211">
        <v>1.2751</v>
      </c>
      <c r="J101" s="223">
        <v>0.3161800988934526</v>
      </c>
      <c r="K101" s="237"/>
      <c r="L101" s="206"/>
    </row>
    <row r="102" spans="1:12" ht="30" customHeight="1">
      <c r="A102" s="205"/>
      <c r="B102" s="205"/>
      <c r="C102" s="205"/>
      <c r="D102" s="205"/>
      <c r="E102" s="209"/>
      <c r="F102" s="254"/>
      <c r="G102" s="205"/>
      <c r="H102" s="213"/>
      <c r="I102" s="211"/>
      <c r="J102" s="223"/>
      <c r="K102" s="237"/>
      <c r="L102" s="206"/>
    </row>
    <row r="103" spans="1:12" ht="30" customHeight="1">
      <c r="A103" s="205">
        <v>34</v>
      </c>
      <c r="B103" s="208" t="s">
        <v>63</v>
      </c>
      <c r="C103" s="205">
        <v>2023</v>
      </c>
      <c r="D103" s="205">
        <v>31</v>
      </c>
      <c r="E103" s="209">
        <v>0</v>
      </c>
      <c r="F103" s="254">
        <f t="shared" si="3"/>
        <v>31</v>
      </c>
      <c r="G103" s="222" t="s">
        <v>202</v>
      </c>
      <c r="H103" s="213">
        <v>0.9513</v>
      </c>
      <c r="I103" s="211">
        <v>1.908</v>
      </c>
      <c r="J103" s="223">
        <v>0.4264136561316881</v>
      </c>
      <c r="K103" s="212">
        <v>644</v>
      </c>
      <c r="L103" s="167" t="s">
        <v>157</v>
      </c>
    </row>
    <row r="104" spans="1:13" ht="30" customHeight="1">
      <c r="A104" s="205"/>
      <c r="B104" s="205"/>
      <c r="C104" s="205" t="s">
        <v>201</v>
      </c>
      <c r="D104" s="205">
        <v>180</v>
      </c>
      <c r="E104" s="209">
        <v>0</v>
      </c>
      <c r="F104" s="254">
        <f t="shared" si="3"/>
        <v>180</v>
      </c>
      <c r="G104" s="205" t="s">
        <v>203</v>
      </c>
      <c r="H104" s="213">
        <v>0.9118</v>
      </c>
      <c r="I104" s="211">
        <v>1.8693</v>
      </c>
      <c r="J104" s="144">
        <v>0.30693944215853997</v>
      </c>
      <c r="K104" s="237"/>
      <c r="L104" s="206"/>
      <c r="M104" s="147"/>
    </row>
    <row r="105" spans="1:12" ht="30" customHeight="1">
      <c r="A105" s="238"/>
      <c r="B105" s="238"/>
      <c r="C105" s="238"/>
      <c r="D105" s="238"/>
      <c r="E105" s="239"/>
      <c r="F105" s="254"/>
      <c r="G105" s="238"/>
      <c r="H105" s="240"/>
      <c r="I105" s="238"/>
      <c r="J105" s="241"/>
      <c r="K105" s="238"/>
      <c r="L105" s="206"/>
    </row>
    <row r="106" spans="1:13" ht="30" customHeight="1">
      <c r="A106" s="205"/>
      <c r="B106" s="205"/>
      <c r="C106" s="205" t="s">
        <v>9</v>
      </c>
      <c r="D106" s="242">
        <f>SUM(D4:D105)</f>
        <v>17407</v>
      </c>
      <c r="E106" s="243">
        <f>SUM(E4:E105)</f>
        <v>460</v>
      </c>
      <c r="F106" s="256">
        <f>SUM(F4:F105)</f>
        <v>17867</v>
      </c>
      <c r="G106" s="222"/>
      <c r="H106" s="213"/>
      <c r="I106" s="211"/>
      <c r="J106" s="223"/>
      <c r="K106" s="212"/>
      <c r="L106" s="175"/>
      <c r="M106" s="154"/>
    </row>
    <row r="107" spans="1:12" ht="30" customHeight="1">
      <c r="A107" s="214" t="s">
        <v>55</v>
      </c>
      <c r="B107" s="214"/>
      <c r="C107" s="244"/>
      <c r="D107" s="245"/>
      <c r="E107" s="246"/>
      <c r="F107" s="257"/>
      <c r="G107" s="245"/>
      <c r="H107" s="225"/>
      <c r="I107" s="226"/>
      <c r="J107" s="227"/>
      <c r="K107" s="247"/>
      <c r="L107" s="248"/>
    </row>
    <row r="108" spans="1:12" ht="30" customHeight="1">
      <c r="A108" s="249"/>
      <c r="B108" s="249"/>
      <c r="C108" s="249"/>
      <c r="D108" s="249"/>
      <c r="E108" s="250"/>
      <c r="F108" s="258"/>
      <c r="G108" s="249"/>
      <c r="H108" s="251"/>
      <c r="I108" s="249"/>
      <c r="J108" s="249"/>
      <c r="K108" s="249"/>
      <c r="L108" s="252"/>
    </row>
  </sheetData>
  <sheetProtection/>
  <mergeCells count="10">
    <mergeCell ref="A1:L1"/>
    <mergeCell ref="A2:A3"/>
    <mergeCell ref="B2:B3"/>
    <mergeCell ref="C2:C3"/>
    <mergeCell ref="D2:F2"/>
    <mergeCell ref="G2:G3"/>
    <mergeCell ref="H2:H3"/>
    <mergeCell ref="I2:I3"/>
    <mergeCell ref="J2:J3"/>
    <mergeCell ref="L2:L3"/>
  </mergeCells>
  <printOptions horizontalCentered="1"/>
  <pageMargins left="0.3937007874015748" right="0.2755905511811024" top="0.6299212598425197" bottom="0.1968503937007874" header="0.11811023622047245" footer="0.5511811023622047"/>
  <pageSetup horizontalDpi="300" verticalDpi="300" orientation="portrait" paperSize="9" scale="70" r:id="rId1"/>
  <headerFooter>
    <oddHeader>&amp;R&amp;"TH SarabunPSK,ตัวหนา"&amp;20 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4"/>
  <sheetViews>
    <sheetView zoomScalePageLayoutView="0" workbookViewId="0" topLeftCell="A49">
      <selection activeCell="D50" sqref="D50"/>
    </sheetView>
  </sheetViews>
  <sheetFormatPr defaultColWidth="8.8515625" defaultRowHeight="21.75"/>
  <cols>
    <col min="1" max="1" width="11.00390625" style="145" customWidth="1"/>
    <col min="2" max="2" width="18.28125" style="145" customWidth="1"/>
    <col min="3" max="3" width="11.7109375" style="145" customWidth="1"/>
    <col min="4" max="4" width="20.28125" style="145" customWidth="1"/>
    <col min="5" max="5" width="9.421875" style="285" customWidth="1"/>
    <col min="6" max="16384" width="8.8515625" style="145" customWidth="1"/>
  </cols>
  <sheetData>
    <row r="1" spans="1:5" ht="33.75" thickBot="1">
      <c r="A1" s="260" t="s">
        <v>155</v>
      </c>
      <c r="B1" s="261" t="s">
        <v>156</v>
      </c>
      <c r="C1" s="280">
        <v>0.3084</v>
      </c>
      <c r="D1" s="262">
        <f>LOG(C1)</f>
        <v>-0.5108856306210806</v>
      </c>
      <c r="E1" s="286" t="s">
        <v>11</v>
      </c>
    </row>
    <row r="2" spans="1:5" ht="33">
      <c r="A2" s="263"/>
      <c r="B2" s="264"/>
      <c r="C2" s="264">
        <v>1.2074</v>
      </c>
      <c r="D2" s="265">
        <f>LOG(C2)</f>
        <v>0.08185117151745415</v>
      </c>
      <c r="E2" s="287"/>
    </row>
    <row r="3" spans="1:5" ht="33.75" thickBot="1">
      <c r="A3" s="263"/>
      <c r="B3" s="264"/>
      <c r="C3" s="264"/>
      <c r="D3" s="265"/>
      <c r="E3" s="287"/>
    </row>
    <row r="4" spans="1:5" ht="33.75" thickBot="1">
      <c r="A4" s="281" t="s">
        <v>155</v>
      </c>
      <c r="B4" s="282" t="s">
        <v>156</v>
      </c>
      <c r="C4" s="283">
        <v>5.1948</v>
      </c>
      <c r="D4" s="284">
        <f>LOG(C4)</f>
        <v>0.7155688318607815</v>
      </c>
      <c r="E4" s="286" t="s">
        <v>12</v>
      </c>
    </row>
    <row r="5" spans="1:5" ht="33">
      <c r="A5" s="263"/>
      <c r="B5" s="264"/>
      <c r="C5" s="264">
        <v>2.8407</v>
      </c>
      <c r="D5" s="265">
        <f>LOG(C5)</f>
        <v>0.45342537127166527</v>
      </c>
      <c r="E5" s="287"/>
    </row>
    <row r="6" spans="1:5" ht="33.75" thickBot="1">
      <c r="A6" s="263"/>
      <c r="B6" s="264"/>
      <c r="C6" s="264"/>
      <c r="D6" s="265"/>
      <c r="E6" s="287"/>
    </row>
    <row r="7" spans="1:5" ht="33.75" thickBot="1">
      <c r="A7" s="266" t="s">
        <v>155</v>
      </c>
      <c r="B7" s="267" t="s">
        <v>156</v>
      </c>
      <c r="C7" s="264">
        <v>1.5885</v>
      </c>
      <c r="D7" s="265">
        <v>0.20098721916316625</v>
      </c>
      <c r="E7" s="286" t="s">
        <v>40</v>
      </c>
    </row>
    <row r="8" spans="1:5" ht="33">
      <c r="A8" s="263"/>
      <c r="B8" s="264"/>
      <c r="C8" s="264">
        <v>1.1546</v>
      </c>
      <c r="D8" s="265">
        <v>0.06243155316261224</v>
      </c>
      <c r="E8" s="287"/>
    </row>
    <row r="9" spans="1:5" ht="33.75" thickBot="1">
      <c r="A9" s="263"/>
      <c r="B9" s="264"/>
      <c r="C9" s="264"/>
      <c r="D9" s="265"/>
      <c r="E9" s="287"/>
    </row>
    <row r="10" spans="1:5" ht="33.75" thickBot="1">
      <c r="A10" s="266" t="s">
        <v>155</v>
      </c>
      <c r="B10" s="267" t="s">
        <v>156</v>
      </c>
      <c r="C10" s="268">
        <v>2.2839</v>
      </c>
      <c r="D10" s="265">
        <f>LOG(C10)</f>
        <v>0.3586770845129741</v>
      </c>
      <c r="E10" s="286" t="s">
        <v>35</v>
      </c>
    </row>
    <row r="11" spans="1:5" ht="33">
      <c r="A11" s="263"/>
      <c r="B11" s="264"/>
      <c r="C11" s="264">
        <v>4.0743</v>
      </c>
      <c r="D11" s="265">
        <f>LOG(C11)</f>
        <v>0.6100530039345772</v>
      </c>
      <c r="E11" s="287"/>
    </row>
    <row r="12" spans="1:5" ht="33.75" thickBot="1">
      <c r="A12" s="263"/>
      <c r="B12" s="264"/>
      <c r="C12" s="264"/>
      <c r="D12" s="265"/>
      <c r="E12" s="287"/>
    </row>
    <row r="13" spans="1:5" ht="33.75" thickBot="1">
      <c r="A13" s="266" t="s">
        <v>155</v>
      </c>
      <c r="B13" s="267" t="s">
        <v>156</v>
      </c>
      <c r="C13" s="264">
        <v>3.7993</v>
      </c>
      <c r="D13" s="265">
        <f>LOG(C13)</f>
        <v>0.5797035876322478</v>
      </c>
      <c r="E13" s="286" t="s">
        <v>22</v>
      </c>
    </row>
    <row r="14" spans="1:5" ht="33">
      <c r="A14" s="263"/>
      <c r="B14" s="264"/>
      <c r="C14" s="268">
        <v>5.117</v>
      </c>
      <c r="D14" s="265">
        <f>LOG(C14)</f>
        <v>0.7090154169721173</v>
      </c>
      <c r="E14" s="287"/>
    </row>
    <row r="15" spans="1:5" ht="33.75" thickBot="1">
      <c r="A15" s="263"/>
      <c r="B15" s="264"/>
      <c r="C15" s="264"/>
      <c r="D15" s="265"/>
      <c r="E15" s="287"/>
    </row>
    <row r="16" spans="1:5" ht="33.75" thickBot="1">
      <c r="A16" s="266" t="s">
        <v>155</v>
      </c>
      <c r="B16" s="267" t="s">
        <v>156</v>
      </c>
      <c r="C16" s="264">
        <v>0.2305</v>
      </c>
      <c r="D16" s="265">
        <f>LOG(C16)</f>
        <v>-0.637329070274333</v>
      </c>
      <c r="E16" s="286" t="s">
        <v>41</v>
      </c>
    </row>
    <row r="17" spans="1:5" ht="33">
      <c r="A17" s="263"/>
      <c r="B17" s="264"/>
      <c r="C17" s="264">
        <v>1.6036</v>
      </c>
      <c r="D17" s="265">
        <f>LOG(C17)</f>
        <v>0.205096047578484</v>
      </c>
      <c r="E17" s="287"/>
    </row>
    <row r="18" spans="1:5" ht="33.75" thickBot="1">
      <c r="A18" s="263"/>
      <c r="B18" s="264"/>
      <c r="C18" s="264"/>
      <c r="D18" s="265"/>
      <c r="E18" s="287"/>
    </row>
    <row r="19" spans="1:5" ht="33.75" thickBot="1">
      <c r="A19" s="266" t="s">
        <v>155</v>
      </c>
      <c r="B19" s="267" t="s">
        <v>156</v>
      </c>
      <c r="C19" s="264">
        <v>0.6501</v>
      </c>
      <c r="D19" s="265">
        <f>LOG(C19)</f>
        <v>-0.18701983396051958</v>
      </c>
      <c r="E19" s="286" t="s">
        <v>57</v>
      </c>
    </row>
    <row r="20" spans="1:5" ht="33">
      <c r="A20" s="263"/>
      <c r="B20" s="264"/>
      <c r="C20" s="268">
        <v>1.076</v>
      </c>
      <c r="D20" s="265">
        <f>LOG(C20)</f>
        <v>0.0318122713303704</v>
      </c>
      <c r="E20" s="287"/>
    </row>
    <row r="21" spans="1:5" ht="33.75" thickBot="1">
      <c r="A21" s="263"/>
      <c r="B21" s="264"/>
      <c r="C21" s="264"/>
      <c r="D21" s="265"/>
      <c r="E21" s="287"/>
    </row>
    <row r="22" spans="1:5" ht="33.75" thickBot="1">
      <c r="A22" s="266" t="s">
        <v>155</v>
      </c>
      <c r="B22" s="267" t="s">
        <v>156</v>
      </c>
      <c r="C22" s="268">
        <v>2.789</v>
      </c>
      <c r="D22" s="265">
        <f>LOG(C22)</f>
        <v>0.44544851426604987</v>
      </c>
      <c r="E22" s="286" t="s">
        <v>38</v>
      </c>
    </row>
    <row r="23" spans="1:5" ht="33">
      <c r="A23" s="263"/>
      <c r="B23" s="263"/>
      <c r="C23" s="268">
        <v>0.8379</v>
      </c>
      <c r="D23" s="265">
        <f>LOG(C23)</f>
        <v>-0.07680780957933252</v>
      </c>
      <c r="E23" s="287"/>
    </row>
    <row r="24" spans="1:5" ht="33.75" thickBot="1">
      <c r="A24" s="263"/>
      <c r="B24" s="264"/>
      <c r="C24" s="264"/>
      <c r="D24" s="265"/>
      <c r="E24" s="287"/>
    </row>
    <row r="25" spans="1:5" ht="33.75" thickBot="1">
      <c r="A25" s="266" t="s">
        <v>155</v>
      </c>
      <c r="B25" s="267" t="s">
        <v>156</v>
      </c>
      <c r="C25" s="264">
        <v>1.3881</v>
      </c>
      <c r="D25" s="265">
        <f>LOG(C25)</f>
        <v>0.14242075421955946</v>
      </c>
      <c r="E25" s="286" t="s">
        <v>39</v>
      </c>
    </row>
    <row r="26" spans="1:5" ht="33">
      <c r="A26" s="263"/>
      <c r="B26" s="264"/>
      <c r="C26" s="264">
        <v>2.1618</v>
      </c>
      <c r="D26" s="265">
        <f>LOG(C26)</f>
        <v>0.3348155125062121</v>
      </c>
      <c r="E26" s="287"/>
    </row>
    <row r="27" spans="1:5" ht="33.75" thickBot="1">
      <c r="A27" s="263"/>
      <c r="B27" s="264"/>
      <c r="C27" s="264"/>
      <c r="D27" s="265"/>
      <c r="E27" s="287"/>
    </row>
    <row r="28" spans="1:5" ht="33.75" thickBot="1">
      <c r="A28" s="266" t="s">
        <v>155</v>
      </c>
      <c r="B28" s="267" t="s">
        <v>156</v>
      </c>
      <c r="C28" s="264">
        <v>4.7648</v>
      </c>
      <c r="D28" s="265">
        <f>LOG(C28)</f>
        <v>0.6780446760720822</v>
      </c>
      <c r="E28" s="286" t="s">
        <v>23</v>
      </c>
    </row>
    <row r="29" spans="1:5" ht="33">
      <c r="A29" s="263"/>
      <c r="B29" s="264"/>
      <c r="C29" s="264">
        <v>3.1358</v>
      </c>
      <c r="D29" s="265">
        <f>LOG(C29)</f>
        <v>0.4963483557769947</v>
      </c>
      <c r="E29" s="287"/>
    </row>
    <row r="30" spans="1:5" ht="33.75" thickBot="1">
      <c r="A30" s="263"/>
      <c r="B30" s="264"/>
      <c r="C30" s="264"/>
      <c r="D30" s="265"/>
      <c r="E30" s="287"/>
    </row>
    <row r="31" spans="1:5" ht="33.75" thickBot="1">
      <c r="A31" s="266" t="s">
        <v>155</v>
      </c>
      <c r="B31" s="267" t="s">
        <v>156</v>
      </c>
      <c r="C31" s="264">
        <v>19.3974</v>
      </c>
      <c r="D31" s="265">
        <f>LOG(C31)</f>
        <v>1.2877435216144812</v>
      </c>
      <c r="E31" s="286" t="s">
        <v>42</v>
      </c>
    </row>
    <row r="32" spans="1:5" ht="33">
      <c r="A32" s="269"/>
      <c r="B32" s="263"/>
      <c r="C32" s="264">
        <v>2.1339</v>
      </c>
      <c r="D32" s="265">
        <f>LOG(C32)</f>
        <v>0.32917406341751304</v>
      </c>
      <c r="E32" s="287"/>
    </row>
    <row r="33" spans="1:5" ht="33.75" thickBot="1">
      <c r="A33" s="263"/>
      <c r="B33" s="264"/>
      <c r="C33" s="264"/>
      <c r="D33" s="265"/>
      <c r="E33" s="287"/>
    </row>
    <row r="34" spans="1:5" ht="33.75" thickBot="1">
      <c r="A34" s="266" t="s">
        <v>155</v>
      </c>
      <c r="B34" s="267" t="s">
        <v>156</v>
      </c>
      <c r="C34" s="264">
        <v>4.2736</v>
      </c>
      <c r="D34" s="265">
        <f>LOG(C34)</f>
        <v>0.6307938706772976</v>
      </c>
      <c r="E34" s="286" t="s">
        <v>43</v>
      </c>
    </row>
    <row r="35" spans="1:5" ht="33">
      <c r="A35" s="269"/>
      <c r="B35" s="263"/>
      <c r="C35" s="264">
        <v>2.198</v>
      </c>
      <c r="D35" s="265">
        <f>LOG(C35)</f>
        <v>0.34202768808747175</v>
      </c>
      <c r="E35" s="287"/>
    </row>
    <row r="36" spans="1:5" ht="33.75" thickBot="1">
      <c r="A36" s="263"/>
      <c r="B36" s="264"/>
      <c r="C36" s="264"/>
      <c r="D36" s="265"/>
      <c r="E36" s="287"/>
    </row>
    <row r="37" spans="1:5" ht="33.75" thickBot="1">
      <c r="A37" s="266" t="s">
        <v>155</v>
      </c>
      <c r="B37" s="267" t="s">
        <v>156</v>
      </c>
      <c r="C37" s="264">
        <v>0.5362</v>
      </c>
      <c r="D37" s="265">
        <f>LOG(C37)</f>
        <v>-0.27067319035313925</v>
      </c>
      <c r="E37" s="286" t="s">
        <v>44</v>
      </c>
    </row>
    <row r="38" spans="1:5" ht="33">
      <c r="A38" s="263"/>
      <c r="B38" s="264"/>
      <c r="C38" s="264">
        <v>1.6647</v>
      </c>
      <c r="D38" s="265">
        <f>LOG(C38)</f>
        <v>0.2213359795338283</v>
      </c>
      <c r="E38" s="287"/>
    </row>
    <row r="39" spans="1:5" ht="33.75" thickBot="1">
      <c r="A39" s="263"/>
      <c r="B39" s="264"/>
      <c r="C39" s="264"/>
      <c r="D39" s="265"/>
      <c r="E39" s="287"/>
    </row>
    <row r="40" spans="1:5" ht="33.75" thickBot="1">
      <c r="A40" s="266" t="s">
        <v>155</v>
      </c>
      <c r="B40" s="267" t="s">
        <v>156</v>
      </c>
      <c r="C40" s="264">
        <v>3.7939</v>
      </c>
      <c r="D40" s="265">
        <f>LOG(C40)</f>
        <v>0.5790858795256157</v>
      </c>
      <c r="E40" s="286" t="s">
        <v>45</v>
      </c>
    </row>
    <row r="41" spans="1:5" ht="33">
      <c r="A41" s="263"/>
      <c r="B41" s="264"/>
      <c r="C41" s="264">
        <v>4.1872</v>
      </c>
      <c r="D41" s="265">
        <f>LOG(C41)</f>
        <v>0.6219237052958058</v>
      </c>
      <c r="E41" s="287"/>
    </row>
    <row r="42" spans="1:5" ht="33.75" thickBot="1">
      <c r="A42" s="263"/>
      <c r="B42" s="264"/>
      <c r="C42" s="264"/>
      <c r="D42" s="265"/>
      <c r="E42" s="287"/>
    </row>
    <row r="43" spans="1:5" ht="33.75" thickBot="1">
      <c r="A43" s="266" t="s">
        <v>155</v>
      </c>
      <c r="B43" s="267" t="s">
        <v>156</v>
      </c>
      <c r="C43" s="268">
        <v>0.525</v>
      </c>
      <c r="D43" s="265">
        <f>LOG(C43)</f>
        <v>-0.2798406965940431</v>
      </c>
      <c r="E43" s="286" t="s">
        <v>153</v>
      </c>
    </row>
    <row r="44" spans="1:5" ht="33">
      <c r="A44" s="263"/>
      <c r="B44" s="264"/>
      <c r="C44" s="264">
        <v>0.5854</v>
      </c>
      <c r="D44" s="265">
        <f>LOG(C44)</f>
        <v>-0.23254728190222684</v>
      </c>
      <c r="E44" s="287"/>
    </row>
    <row r="45" spans="1:5" ht="33.75" thickBot="1">
      <c r="A45" s="263"/>
      <c r="B45" s="264"/>
      <c r="C45" s="264"/>
      <c r="D45" s="265"/>
      <c r="E45" s="287"/>
    </row>
    <row r="46" spans="1:5" ht="33.75" thickBot="1">
      <c r="A46" s="266" t="s">
        <v>155</v>
      </c>
      <c r="B46" s="267" t="s">
        <v>156</v>
      </c>
      <c r="C46" s="270">
        <v>0.4599</v>
      </c>
      <c r="D46" s="271">
        <f>LOG(C46)</f>
        <v>-0.3373365904259624</v>
      </c>
      <c r="E46" s="286" t="s">
        <v>154</v>
      </c>
    </row>
    <row r="47" spans="1:5" ht="33">
      <c r="A47" s="263"/>
      <c r="B47" s="264"/>
      <c r="C47" s="270">
        <v>0.7482</v>
      </c>
      <c r="D47" s="271">
        <f>LOG(C47)</f>
        <v>-0.12598229613781375</v>
      </c>
      <c r="E47" s="287"/>
    </row>
    <row r="48" spans="1:5" ht="33.75" thickBot="1">
      <c r="A48" s="263"/>
      <c r="B48" s="264"/>
      <c r="C48" s="264"/>
      <c r="D48" s="265"/>
      <c r="E48" s="287"/>
    </row>
    <row r="49" spans="1:5" ht="33.75" thickBot="1">
      <c r="A49" s="266" t="s">
        <v>155</v>
      </c>
      <c r="B49" s="267" t="s">
        <v>156</v>
      </c>
      <c r="C49" s="264">
        <v>1.1134</v>
      </c>
      <c r="D49" s="265">
        <f>LOG(C49)</f>
        <v>0.04665121697091959</v>
      </c>
      <c r="E49" s="286" t="s">
        <v>46</v>
      </c>
    </row>
    <row r="50" spans="1:5" ht="33">
      <c r="A50" s="263"/>
      <c r="B50" s="264"/>
      <c r="C50" s="264">
        <v>0.7796</v>
      </c>
      <c r="D50" s="265">
        <f>LOG(C50)</f>
        <v>-0.1081281695544162</v>
      </c>
      <c r="E50" s="287"/>
    </row>
    <row r="51" spans="1:5" ht="33.75" thickBot="1">
      <c r="A51" s="263"/>
      <c r="B51" s="264"/>
      <c r="C51" s="264"/>
      <c r="D51" s="265"/>
      <c r="E51" s="287"/>
    </row>
    <row r="52" spans="1:5" ht="33.75" thickBot="1">
      <c r="A52" s="266" t="s">
        <v>155</v>
      </c>
      <c r="B52" s="267" t="s">
        <v>156</v>
      </c>
      <c r="C52" s="268">
        <v>0.2531</v>
      </c>
      <c r="D52" s="265">
        <f>LOG(C52)</f>
        <v>-0.5967078548417458</v>
      </c>
      <c r="E52" s="286" t="s">
        <v>16</v>
      </c>
    </row>
    <row r="53" spans="1:5" ht="33">
      <c r="A53" s="263"/>
      <c r="B53" s="264"/>
      <c r="C53" s="264">
        <v>0.3794</v>
      </c>
      <c r="D53" s="265">
        <f>LOG(C53)</f>
        <v>-0.4209026734473562</v>
      </c>
      <c r="E53" s="287"/>
    </row>
    <row r="54" spans="1:5" ht="33.75" thickBot="1">
      <c r="A54" s="263"/>
      <c r="B54" s="264"/>
      <c r="C54" s="264"/>
      <c r="D54" s="265"/>
      <c r="E54" s="287"/>
    </row>
    <row r="55" spans="1:5" ht="33.75" thickBot="1">
      <c r="A55" s="266" t="s">
        <v>155</v>
      </c>
      <c r="B55" s="267" t="s">
        <v>156</v>
      </c>
      <c r="C55" s="264">
        <v>1.3998</v>
      </c>
      <c r="D55" s="265">
        <f>LOG(C55)</f>
        <v>0.14606598917739624</v>
      </c>
      <c r="E55" s="286" t="s">
        <v>24</v>
      </c>
    </row>
    <row r="56" spans="1:5" ht="33">
      <c r="A56" s="263"/>
      <c r="B56" s="264"/>
      <c r="C56" s="264">
        <v>1.3228</v>
      </c>
      <c r="D56" s="265">
        <f>LOG(C56)</f>
        <v>0.12149418624166523</v>
      </c>
      <c r="E56" s="287"/>
    </row>
    <row r="57" spans="1:5" ht="33.75" thickBot="1">
      <c r="A57" s="263"/>
      <c r="B57" s="264"/>
      <c r="C57" s="264"/>
      <c r="D57" s="265"/>
      <c r="E57" s="287"/>
    </row>
    <row r="58" spans="1:5" ht="33.75" thickBot="1">
      <c r="A58" s="266" t="s">
        <v>155</v>
      </c>
      <c r="B58" s="267" t="s">
        <v>156</v>
      </c>
      <c r="C58" s="264">
        <v>1.4539</v>
      </c>
      <c r="D58" s="265">
        <f>LOG(C58)</f>
        <v>0.16253453654935593</v>
      </c>
      <c r="E58" s="286" t="s">
        <v>17</v>
      </c>
    </row>
    <row r="59" spans="1:5" ht="33">
      <c r="A59" s="263"/>
      <c r="B59" s="264"/>
      <c r="C59" s="268">
        <v>2.088</v>
      </c>
      <c r="D59" s="265">
        <f>LOG(C59)</f>
        <v>0.31973049433022455</v>
      </c>
      <c r="E59" s="287"/>
    </row>
    <row r="60" spans="1:5" ht="33.75" thickBot="1">
      <c r="A60" s="263"/>
      <c r="B60" s="264"/>
      <c r="C60" s="264"/>
      <c r="D60" s="265"/>
      <c r="E60" s="287"/>
    </row>
    <row r="61" spans="1:5" ht="33.75" thickBot="1">
      <c r="A61" s="266" t="s">
        <v>155</v>
      </c>
      <c r="B61" s="267" t="s">
        <v>156</v>
      </c>
      <c r="C61" s="264">
        <v>5.3623</v>
      </c>
      <c r="D61" s="265">
        <f>LOG(C61)</f>
        <v>0.7293511074275281</v>
      </c>
      <c r="E61" s="286" t="s">
        <v>53</v>
      </c>
    </row>
    <row r="62" spans="1:5" ht="33">
      <c r="A62" s="263"/>
      <c r="B62" s="264"/>
      <c r="C62" s="264">
        <v>3.9749</v>
      </c>
      <c r="D62" s="265">
        <f>LOG(C62)</f>
        <v>0.5993262072077138</v>
      </c>
      <c r="E62" s="287"/>
    </row>
    <row r="63" spans="1:5" ht="33.75" thickBot="1">
      <c r="A63" s="263"/>
      <c r="B63" s="264"/>
      <c r="C63" s="264"/>
      <c r="D63" s="265"/>
      <c r="E63" s="287"/>
    </row>
    <row r="64" spans="1:5" ht="33.75" thickBot="1">
      <c r="A64" s="266" t="s">
        <v>155</v>
      </c>
      <c r="B64" s="267" t="s">
        <v>156</v>
      </c>
      <c r="C64" s="272">
        <v>0.7417</v>
      </c>
      <c r="D64" s="265">
        <f>LOG(C64)</f>
        <v>-0.12977172098820555</v>
      </c>
      <c r="E64" s="286" t="s">
        <v>18</v>
      </c>
    </row>
    <row r="65" spans="1:5" ht="33">
      <c r="A65" s="273"/>
      <c r="B65" s="274"/>
      <c r="C65" s="274">
        <v>1.4507</v>
      </c>
      <c r="D65" s="265">
        <f>LOG(C65)</f>
        <v>0.1615776110488706</v>
      </c>
      <c r="E65" s="287"/>
    </row>
    <row r="66" spans="1:5" ht="33.75" thickBot="1">
      <c r="A66" s="273"/>
      <c r="B66" s="274"/>
      <c r="C66" s="274"/>
      <c r="D66" s="265"/>
      <c r="E66" s="287"/>
    </row>
    <row r="67" spans="1:5" ht="33.75" thickBot="1">
      <c r="A67" s="266" t="s">
        <v>155</v>
      </c>
      <c r="B67" s="267" t="s">
        <v>156</v>
      </c>
      <c r="C67" s="274">
        <v>0.4627</v>
      </c>
      <c r="D67" s="265">
        <f>LOG(C67)</f>
        <v>-0.3347005005001029</v>
      </c>
      <c r="E67" s="286" t="s">
        <v>47</v>
      </c>
    </row>
    <row r="68" spans="1:5" ht="33">
      <c r="A68" s="273"/>
      <c r="B68" s="274"/>
      <c r="C68" s="274">
        <v>0.7834</v>
      </c>
      <c r="D68" s="265">
        <f>LOG(C68)</f>
        <v>-0.10601643278815294</v>
      </c>
      <c r="E68" s="287"/>
    </row>
    <row r="69" spans="1:5" ht="33.75" thickBot="1">
      <c r="A69" s="273"/>
      <c r="B69" s="274"/>
      <c r="C69" s="274"/>
      <c r="D69" s="265"/>
      <c r="E69" s="287"/>
    </row>
    <row r="70" spans="1:5" ht="33.75" thickBot="1">
      <c r="A70" s="266" t="s">
        <v>155</v>
      </c>
      <c r="B70" s="267" t="s">
        <v>156</v>
      </c>
      <c r="C70" s="272">
        <v>2.7513</v>
      </c>
      <c r="D70" s="265">
        <f>LOG(C70)</f>
        <v>0.4395379481654137</v>
      </c>
      <c r="E70" s="286" t="s">
        <v>60</v>
      </c>
    </row>
    <row r="71" spans="1:5" ht="33">
      <c r="A71" s="273"/>
      <c r="B71" s="274"/>
      <c r="C71" s="272">
        <v>2.9917</v>
      </c>
      <c r="D71" s="265">
        <f>LOG(C71)</f>
        <v>0.47591804143946814</v>
      </c>
      <c r="E71" s="287"/>
    </row>
    <row r="72" spans="1:5" ht="33.75" thickBot="1">
      <c r="A72" s="273"/>
      <c r="B72" s="274"/>
      <c r="C72" s="274"/>
      <c r="D72" s="265"/>
      <c r="E72" s="287"/>
    </row>
    <row r="73" spans="1:5" ht="33.75" thickBot="1">
      <c r="A73" s="266" t="s">
        <v>155</v>
      </c>
      <c r="B73" s="267" t="s">
        <v>156</v>
      </c>
      <c r="C73" s="274">
        <v>0.5061</v>
      </c>
      <c r="D73" s="265">
        <f>LOG(C73)</f>
        <v>-0.29576366269121235</v>
      </c>
      <c r="E73" s="286" t="s">
        <v>48</v>
      </c>
    </row>
    <row r="74" spans="1:5" ht="33">
      <c r="A74" s="273"/>
      <c r="B74" s="274"/>
      <c r="C74" s="272">
        <v>0.6656</v>
      </c>
      <c r="D74" s="265">
        <f>LOG(C74)</f>
        <v>-0.1767866867173325</v>
      </c>
      <c r="E74" s="287"/>
    </row>
    <row r="75" spans="1:5" ht="33.75" thickBot="1">
      <c r="A75" s="273"/>
      <c r="B75" s="274"/>
      <c r="C75" s="274"/>
      <c r="D75" s="265"/>
      <c r="E75" s="287"/>
    </row>
    <row r="76" spans="1:5" ht="33.75" thickBot="1">
      <c r="A76" s="266" t="s">
        <v>155</v>
      </c>
      <c r="B76" s="267" t="s">
        <v>156</v>
      </c>
      <c r="C76" s="274">
        <v>1.9119</v>
      </c>
      <c r="D76" s="265">
        <f>LOG(C76)</f>
        <v>0.2814651731995283</v>
      </c>
      <c r="E76" s="286" t="s">
        <v>61</v>
      </c>
    </row>
    <row r="77" spans="1:5" ht="33">
      <c r="A77" s="273"/>
      <c r="B77" s="274"/>
      <c r="C77" s="274">
        <v>2.5014</v>
      </c>
      <c r="D77" s="265">
        <f>LOG(C77)</f>
        <v>0.398183145509941</v>
      </c>
      <c r="E77" s="287"/>
    </row>
    <row r="78" spans="1:5" ht="33.75" thickBot="1">
      <c r="A78" s="273"/>
      <c r="B78" s="274"/>
      <c r="C78" s="274"/>
      <c r="D78" s="275"/>
      <c r="E78" s="287"/>
    </row>
    <row r="79" spans="1:5" ht="33.75" thickBot="1">
      <c r="A79" s="266" t="s">
        <v>155</v>
      </c>
      <c r="B79" s="267" t="s">
        <v>156</v>
      </c>
      <c r="C79" s="274">
        <v>0.2369</v>
      </c>
      <c r="D79" s="275">
        <f>LOG(C79)</f>
        <v>-0.6254349392772349</v>
      </c>
      <c r="E79" s="286" t="s">
        <v>49</v>
      </c>
    </row>
    <row r="80" spans="1:5" ht="33">
      <c r="A80" s="273"/>
      <c r="B80" s="274"/>
      <c r="C80" s="274">
        <v>0.2045</v>
      </c>
      <c r="D80" s="275">
        <f>LOG(C80)</f>
        <v>-0.6893066876566394</v>
      </c>
      <c r="E80" s="287"/>
    </row>
    <row r="81" spans="1:5" ht="33.75" thickBot="1">
      <c r="A81" s="273"/>
      <c r="B81" s="274"/>
      <c r="C81" s="274"/>
      <c r="D81" s="275"/>
      <c r="E81" s="287"/>
    </row>
    <row r="82" spans="1:5" ht="33.75" thickBot="1">
      <c r="A82" s="266" t="s">
        <v>155</v>
      </c>
      <c r="B82" s="267" t="s">
        <v>156</v>
      </c>
      <c r="C82" s="274">
        <v>0.3063</v>
      </c>
      <c r="D82" s="275">
        <f>LOG(C82)</f>
        <v>-0.5138530031934273</v>
      </c>
      <c r="E82" s="286" t="s">
        <v>50</v>
      </c>
    </row>
    <row r="83" spans="1:5" ht="33">
      <c r="A83" s="273"/>
      <c r="B83" s="274"/>
      <c r="C83" s="274">
        <v>0.2957</v>
      </c>
      <c r="D83" s="275">
        <f>(LOG(C83))</f>
        <v>-0.5291486754738823</v>
      </c>
      <c r="E83" s="287"/>
    </row>
    <row r="84" spans="1:5" ht="33.75" thickBot="1">
      <c r="A84" s="273"/>
      <c r="B84" s="274"/>
      <c r="C84" s="274"/>
      <c r="D84" s="275"/>
      <c r="E84" s="287"/>
    </row>
    <row r="85" spans="1:5" ht="33.75" thickBot="1">
      <c r="A85" s="266" t="s">
        <v>155</v>
      </c>
      <c r="B85" s="267" t="s">
        <v>156</v>
      </c>
      <c r="C85" s="272">
        <v>0.6645</v>
      </c>
      <c r="D85" s="275">
        <f>LOG(C85)</f>
        <v>-0.17750501472124922</v>
      </c>
      <c r="E85" s="286" t="s">
        <v>54</v>
      </c>
    </row>
    <row r="86" spans="1:5" ht="33">
      <c r="A86" s="273"/>
      <c r="B86" s="274"/>
      <c r="C86" s="274">
        <v>0.6595</v>
      </c>
      <c r="D86" s="275">
        <f>LOG(C86)</f>
        <v>-0.18078520011761592</v>
      </c>
      <c r="E86" s="287"/>
    </row>
    <row r="87" spans="1:5" ht="33.75" thickBot="1">
      <c r="A87" s="273"/>
      <c r="B87" s="274"/>
      <c r="C87" s="274"/>
      <c r="D87" s="275"/>
      <c r="E87" s="287"/>
    </row>
    <row r="88" spans="1:5" ht="33.75" thickBot="1">
      <c r="A88" s="266" t="s">
        <v>155</v>
      </c>
      <c r="B88" s="267" t="s">
        <v>156</v>
      </c>
      <c r="C88" s="274">
        <v>0.4455</v>
      </c>
      <c r="D88" s="275">
        <f>LOG(C88)</f>
        <v>-0.35115229162710637</v>
      </c>
      <c r="E88" s="286" t="s">
        <v>62</v>
      </c>
    </row>
    <row r="89" spans="1:5" ht="33">
      <c r="A89" s="273"/>
      <c r="B89" s="274"/>
      <c r="C89" s="274">
        <v>0.3262</v>
      </c>
      <c r="D89" s="275">
        <f>LOG(C89)</f>
        <v>-0.486516043295743</v>
      </c>
      <c r="E89" s="287"/>
    </row>
    <row r="90" spans="1:5" ht="33.75" thickBot="1">
      <c r="A90" s="273"/>
      <c r="B90" s="274"/>
      <c r="C90" s="274"/>
      <c r="D90" s="275"/>
      <c r="E90" s="287"/>
    </row>
    <row r="91" spans="1:5" ht="33.75" thickBot="1">
      <c r="A91" s="266" t="s">
        <v>155</v>
      </c>
      <c r="B91" s="267" t="s">
        <v>156</v>
      </c>
      <c r="C91" s="274">
        <v>3.8403</v>
      </c>
      <c r="D91" s="275">
        <f>LOG(C91)</f>
        <v>0.584365152298637</v>
      </c>
      <c r="E91" s="286" t="s">
        <v>27</v>
      </c>
    </row>
    <row r="92" spans="1:5" ht="33">
      <c r="A92" s="273"/>
      <c r="B92" s="274"/>
      <c r="C92" s="274">
        <v>2.3214</v>
      </c>
      <c r="D92" s="275">
        <f>LOG(C92)</f>
        <v>0.36574998010488863</v>
      </c>
      <c r="E92" s="287"/>
    </row>
    <row r="93" spans="1:5" ht="33.75" thickBot="1">
      <c r="A93" s="273"/>
      <c r="B93" s="274"/>
      <c r="C93" s="274"/>
      <c r="D93" s="275"/>
      <c r="E93" s="287"/>
    </row>
    <row r="94" spans="1:5" ht="33.75" thickBot="1">
      <c r="A94" s="266" t="s">
        <v>155</v>
      </c>
      <c r="B94" s="267" t="s">
        <v>156</v>
      </c>
      <c r="C94" s="272">
        <v>0.4483</v>
      </c>
      <c r="D94" s="275">
        <f>LOG(C94)</f>
        <v>-0.34843126113420814</v>
      </c>
      <c r="E94" s="286" t="s">
        <v>51</v>
      </c>
    </row>
    <row r="95" spans="1:5" ht="33">
      <c r="A95" s="273"/>
      <c r="B95" s="274"/>
      <c r="C95" s="274">
        <v>0.7385</v>
      </c>
      <c r="D95" s="275">
        <f>LOG(C95)</f>
        <v>-0.13164950035203168</v>
      </c>
      <c r="E95" s="287"/>
    </row>
    <row r="96" spans="1:5" ht="33.75" thickBot="1">
      <c r="A96" s="273"/>
      <c r="B96" s="274"/>
      <c r="C96" s="274"/>
      <c r="D96" s="275"/>
      <c r="E96" s="287"/>
    </row>
    <row r="97" spans="1:5" ht="33.75" thickBot="1">
      <c r="A97" s="266" t="s">
        <v>155</v>
      </c>
      <c r="B97" s="267" t="s">
        <v>156</v>
      </c>
      <c r="C97" s="272">
        <v>3.0032</v>
      </c>
      <c r="D97" s="275">
        <f>LOG(C97)</f>
        <v>0.4775842552772711</v>
      </c>
      <c r="E97" s="286" t="s">
        <v>30</v>
      </c>
    </row>
    <row r="98" spans="1:5" ht="33">
      <c r="A98" s="263"/>
      <c r="B98" s="264"/>
      <c r="C98" s="268">
        <v>2.071</v>
      </c>
      <c r="D98" s="265">
        <f>LOG(C98)</f>
        <v>0.3161800988934526</v>
      </c>
      <c r="E98" s="287"/>
    </row>
    <row r="99" spans="1:5" ht="33.75" thickBot="1">
      <c r="A99" s="263"/>
      <c r="B99" s="264"/>
      <c r="C99" s="264"/>
      <c r="D99" s="265"/>
      <c r="E99" s="287"/>
    </row>
    <row r="100" spans="1:5" ht="33.75" thickBot="1">
      <c r="A100" s="266" t="s">
        <v>155</v>
      </c>
      <c r="B100" s="267" t="s">
        <v>156</v>
      </c>
      <c r="C100" s="264">
        <v>2.6694</v>
      </c>
      <c r="D100" s="265">
        <f>LOG(C100)</f>
        <v>0.4264136561316881</v>
      </c>
      <c r="E100" s="286" t="s">
        <v>63</v>
      </c>
    </row>
    <row r="101" spans="1:5" ht="33.75" thickBot="1">
      <c r="A101" s="276"/>
      <c r="B101" s="277"/>
      <c r="C101" s="278">
        <v>2.0274</v>
      </c>
      <c r="D101" s="279">
        <f>LOG(C101)</f>
        <v>0.30693944215853997</v>
      </c>
      <c r="E101" s="287"/>
    </row>
    <row r="102" spans="1:4" ht="33">
      <c r="A102" s="146"/>
      <c r="B102" s="143"/>
      <c r="C102" s="143"/>
      <c r="D102" s="144"/>
    </row>
    <row r="103" spans="1:4" ht="33">
      <c r="A103" s="146"/>
      <c r="B103" s="154"/>
      <c r="C103" s="154"/>
      <c r="D103" s="144"/>
    </row>
    <row r="104" spans="1:4" ht="33">
      <c r="A104" s="146"/>
      <c r="B104" s="143"/>
      <c r="C104" s="143"/>
      <c r="D104" s="144"/>
    </row>
  </sheetData>
  <sheetProtection/>
  <printOptions/>
  <pageMargins left="0.7086614173228347" right="0.7086614173228347" top="0.7480314960629921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 Organize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>Admin_TK</cp:lastModifiedBy>
  <cp:lastPrinted>2024-06-05T06:18:30Z</cp:lastPrinted>
  <dcterms:created xsi:type="dcterms:W3CDTF">2001-05-01T08:12:27Z</dcterms:created>
  <dcterms:modified xsi:type="dcterms:W3CDTF">2024-06-05T06:39:48Z</dcterms:modified>
  <cp:category/>
  <cp:version/>
  <cp:contentType/>
  <cp:contentStatus/>
</cp:coreProperties>
</file>