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3"/>
  </bookViews>
  <sheets>
    <sheet name="EQU2008" sheetId="1" r:id="rId1"/>
    <sheet name="EQU2008 (2)" sheetId="2" r:id="rId2"/>
    <sheet name="Sheet1" sheetId="3" r:id="rId3"/>
    <sheet name="สมการ(แก้ไข)" sheetId="4" r:id="rId4"/>
  </sheets>
  <definedNames>
    <definedName name="_xlnm.Print_Titles" localSheetId="0">'EQU2008'!$1:$3</definedName>
    <definedName name="_xlnm.Print_Titles" localSheetId="1">'EQU2008 (2)'!$1:$3</definedName>
    <definedName name="_xlnm.Print_Titles" localSheetId="3">'สมการ(แก้ไข)'!$1:$3</definedName>
  </definedNames>
  <calcPr fullCalcOnLoad="1"/>
</workbook>
</file>

<file path=xl/sharedStrings.xml><?xml version="1.0" encoding="utf-8"?>
<sst xmlns="http://schemas.openxmlformats.org/spreadsheetml/2006/main" count="414" uniqueCount="246">
  <si>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</si>
  <si>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</si>
  <si>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</si>
  <si>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</si>
  <si>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</si>
  <si>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</si>
  <si>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</si>
  <si>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</si>
  <si>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</si>
  <si>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</si>
  <si>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</si>
  <si>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</si>
  <si>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</si>
  <si>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</si>
  <si>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</si>
  <si>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</si>
  <si>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</si>
  <si>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</si>
  <si>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</si>
  <si>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</si>
  <si>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</si>
  <si>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</si>
  <si>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</si>
  <si>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</si>
  <si>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</si>
  <si>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</si>
  <si>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</si>
  <si>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</si>
  <si>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</si>
  <si>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</si>
  <si>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</si>
  <si>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</si>
  <si>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</si>
  <si>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</si>
  <si>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</si>
  <si>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</si>
  <si>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</si>
  <si>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</si>
  <si>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</si>
  <si>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</si>
  <si>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</si>
  <si>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</si>
  <si>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</si>
  <si>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</si>
  <si>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</si>
  <si>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</si>
  <si>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</si>
  <si>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</si>
  <si>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</si>
  <si>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</si>
  <si>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</si>
  <si>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</si>
  <si>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</si>
  <si>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t>W.25</t>
  </si>
  <si>
    <t>N.65</t>
  </si>
  <si>
    <t>Accept  Equations are shown in red</t>
  </si>
  <si>
    <t xml:space="preserve"> </t>
  </si>
  <si>
    <t>P.73A</t>
  </si>
  <si>
    <t>P92</t>
  </si>
  <si>
    <t>P92 A</t>
  </si>
  <si>
    <t>Y.24</t>
  </si>
  <si>
    <t>Y.65</t>
  </si>
  <si>
    <t>N.75</t>
  </si>
  <si>
    <t>Kh.72</t>
  </si>
  <si>
    <t>1993 - 2020</t>
  </si>
  <si>
    <r>
      <t>Y=1.414X</t>
    </r>
    <r>
      <rPr>
        <vertAlign val="superscript"/>
        <sz val="16"/>
        <color indexed="8"/>
        <rFont val="Angsana New"/>
        <family val="1"/>
      </rPr>
      <t>1.497</t>
    </r>
  </si>
  <si>
    <t>1992-2020</t>
  </si>
  <si>
    <r>
      <t>Y=1295X</t>
    </r>
    <r>
      <rPr>
        <vertAlign val="superscript"/>
        <sz val="16"/>
        <color indexed="10"/>
        <rFont val="Angsana New"/>
        <family val="1"/>
      </rPr>
      <t>1556</t>
    </r>
  </si>
  <si>
    <r>
      <t>Y=2.645X</t>
    </r>
    <r>
      <rPr>
        <vertAlign val="superscript"/>
        <sz val="16"/>
        <color indexed="10"/>
        <rFont val="Angsana New"/>
        <family val="1"/>
      </rPr>
      <t>1528</t>
    </r>
  </si>
  <si>
    <r>
      <t>Y=2.761X</t>
    </r>
    <r>
      <rPr>
        <vertAlign val="superscript"/>
        <sz val="16"/>
        <rFont val="Angsana New"/>
        <family val="1"/>
      </rPr>
      <t>1591</t>
    </r>
  </si>
  <si>
    <t>2007-2020</t>
  </si>
  <si>
    <r>
      <t>Y=1.178X</t>
    </r>
    <r>
      <rPr>
        <vertAlign val="superscript"/>
        <sz val="16"/>
        <color indexed="8"/>
        <rFont val="Angsana New"/>
        <family val="1"/>
      </rPr>
      <t>1.369</t>
    </r>
  </si>
  <si>
    <r>
      <t>Y=1.749X</t>
    </r>
    <r>
      <rPr>
        <vertAlign val="superscript"/>
        <sz val="16"/>
        <color indexed="10"/>
        <rFont val="Angsana New"/>
        <family val="1"/>
      </rPr>
      <t>1.259</t>
    </r>
  </si>
  <si>
    <t>2001 - 2020</t>
  </si>
  <si>
    <r>
      <t>Y=3.070X</t>
    </r>
    <r>
      <rPr>
        <vertAlign val="superscript"/>
        <sz val="16"/>
        <color indexed="10"/>
        <rFont val="Angsana New"/>
        <family val="1"/>
      </rPr>
      <t>1.650</t>
    </r>
  </si>
  <si>
    <r>
      <t>Y=4.168X</t>
    </r>
    <r>
      <rPr>
        <vertAlign val="superscript"/>
        <sz val="16"/>
        <color indexed="8"/>
        <rFont val="Angsana New"/>
        <family val="1"/>
      </rPr>
      <t>1.392</t>
    </r>
  </si>
  <si>
    <t>2000 - 2020</t>
  </si>
  <si>
    <r>
      <t>Y=4.027X</t>
    </r>
    <r>
      <rPr>
        <vertAlign val="superscript"/>
        <sz val="16"/>
        <color indexed="10"/>
        <rFont val="Angsana New"/>
        <family val="1"/>
      </rPr>
      <t>1.494</t>
    </r>
  </si>
  <si>
    <r>
      <t>Y=2.162X</t>
    </r>
    <r>
      <rPr>
        <vertAlign val="superscript"/>
        <sz val="16"/>
        <color indexed="10"/>
        <rFont val="Angsana New"/>
        <family val="1"/>
      </rPr>
      <t>1.486</t>
    </r>
  </si>
  <si>
    <r>
      <t>Y=85.987X</t>
    </r>
    <r>
      <rPr>
        <vertAlign val="superscript"/>
        <sz val="16"/>
        <color indexed="8"/>
        <rFont val="Angsana New"/>
        <family val="1"/>
      </rPr>
      <t>1.525</t>
    </r>
  </si>
  <si>
    <r>
      <t>Y=0.241X</t>
    </r>
    <r>
      <rPr>
        <vertAlign val="superscript"/>
        <sz val="16"/>
        <color indexed="10"/>
        <rFont val="Angsana New"/>
        <family val="1"/>
      </rPr>
      <t>1.665</t>
    </r>
  </si>
  <si>
    <r>
      <t>Y=1.244X</t>
    </r>
    <r>
      <rPr>
        <vertAlign val="superscript"/>
        <sz val="16"/>
        <color indexed="8"/>
        <rFont val="Angsana New"/>
        <family val="1"/>
      </rPr>
      <t>1.363</t>
    </r>
  </si>
  <si>
    <t>2016 - 2020</t>
  </si>
  <si>
    <r>
      <t>Y=0.173X</t>
    </r>
    <r>
      <rPr>
        <vertAlign val="superscript"/>
        <sz val="16"/>
        <color indexed="10"/>
        <rFont val="Angsana New"/>
        <family val="1"/>
      </rPr>
      <t>1.705</t>
    </r>
  </si>
  <si>
    <r>
      <t>Y=1.488X</t>
    </r>
    <r>
      <rPr>
        <vertAlign val="superscript"/>
        <sz val="16"/>
        <color indexed="8"/>
        <rFont val="Angsana New"/>
        <family val="1"/>
      </rPr>
      <t>1.289</t>
    </r>
  </si>
  <si>
    <r>
      <t>Y=1.440X</t>
    </r>
    <r>
      <rPr>
        <vertAlign val="superscript"/>
        <sz val="16"/>
        <color indexed="10"/>
        <rFont val="Angsana New"/>
        <family val="1"/>
      </rPr>
      <t>1.564</t>
    </r>
  </si>
  <si>
    <r>
      <t>Y=0.936X</t>
    </r>
    <r>
      <rPr>
        <vertAlign val="superscript"/>
        <sz val="16"/>
        <color indexed="8"/>
        <rFont val="Angsana New"/>
        <family val="1"/>
      </rPr>
      <t>1.602</t>
    </r>
  </si>
  <si>
    <r>
      <t>Y=0.633X</t>
    </r>
    <r>
      <rPr>
        <vertAlign val="superscript"/>
        <sz val="16"/>
        <color indexed="10"/>
        <rFont val="Angsana New"/>
        <family val="1"/>
      </rPr>
      <t>1.723</t>
    </r>
  </si>
  <si>
    <r>
      <t>Y=2.236X</t>
    </r>
    <r>
      <rPr>
        <vertAlign val="superscript"/>
        <sz val="16"/>
        <color indexed="8"/>
        <rFont val="Angsana New"/>
        <family val="1"/>
      </rPr>
      <t>0.858</t>
    </r>
  </si>
  <si>
    <t>2006 - 2020</t>
  </si>
  <si>
    <r>
      <t>Y=4.318X</t>
    </r>
    <r>
      <rPr>
        <vertAlign val="superscript"/>
        <sz val="16"/>
        <color indexed="10"/>
        <rFont val="Angsana New"/>
        <family val="1"/>
      </rPr>
      <t>1.648</t>
    </r>
  </si>
  <si>
    <r>
      <t>Y=2.215X</t>
    </r>
    <r>
      <rPr>
        <vertAlign val="superscript"/>
        <sz val="16"/>
        <color indexed="8"/>
        <rFont val="Angsana New"/>
        <family val="1"/>
      </rPr>
      <t>1.213</t>
    </r>
  </si>
  <si>
    <r>
      <t>Y=7.064X</t>
    </r>
    <r>
      <rPr>
        <vertAlign val="superscript"/>
        <sz val="16"/>
        <color indexed="10"/>
        <rFont val="Angsana New"/>
        <family val="1"/>
      </rPr>
      <t>1.234</t>
    </r>
  </si>
  <si>
    <r>
      <t>Y=1.995X</t>
    </r>
    <r>
      <rPr>
        <vertAlign val="superscript"/>
        <sz val="16"/>
        <color indexed="8"/>
        <rFont val="Angsana New"/>
        <family val="1"/>
      </rPr>
      <t>1.503</t>
    </r>
  </si>
  <si>
    <r>
      <t>Y=5.900X</t>
    </r>
    <r>
      <rPr>
        <vertAlign val="superscript"/>
        <sz val="16"/>
        <color indexed="10"/>
        <rFont val="Angsana New"/>
        <family val="1"/>
      </rPr>
      <t>1.646</t>
    </r>
  </si>
  <si>
    <r>
      <t>Y=2.136X</t>
    </r>
    <r>
      <rPr>
        <vertAlign val="superscript"/>
        <sz val="16"/>
        <color indexed="8"/>
        <rFont val="Angsana New"/>
        <family val="1"/>
      </rPr>
      <t>1.514</t>
    </r>
  </si>
  <si>
    <r>
      <t>Y=0.610X</t>
    </r>
    <r>
      <rPr>
        <vertAlign val="superscript"/>
        <sz val="16"/>
        <color indexed="10"/>
        <rFont val="Angsana New"/>
        <family val="1"/>
      </rPr>
      <t>2.399</t>
    </r>
  </si>
  <si>
    <r>
      <t>Y=1.493X</t>
    </r>
    <r>
      <rPr>
        <vertAlign val="superscript"/>
        <sz val="16"/>
        <color indexed="8"/>
        <rFont val="Angsana New"/>
        <family val="1"/>
      </rPr>
      <t>1.612</t>
    </r>
  </si>
  <si>
    <t>2005 - 2020</t>
  </si>
  <si>
    <t>2014 - 2020</t>
  </si>
  <si>
    <r>
      <t>Y=1.628X</t>
    </r>
    <r>
      <rPr>
        <vertAlign val="superscript"/>
        <sz val="16"/>
        <color indexed="10"/>
        <rFont val="Angsana New"/>
        <family val="1"/>
      </rPr>
      <t>2.030</t>
    </r>
  </si>
  <si>
    <r>
      <t>Y=3.040X</t>
    </r>
    <r>
      <rPr>
        <vertAlign val="superscript"/>
        <sz val="16"/>
        <color indexed="8"/>
        <rFont val="Angsana New"/>
        <family val="1"/>
      </rPr>
      <t>1.347</t>
    </r>
  </si>
  <si>
    <r>
      <t>Y=0.218X</t>
    </r>
    <r>
      <rPr>
        <vertAlign val="superscript"/>
        <sz val="16"/>
        <color indexed="10"/>
        <rFont val="Angsana New"/>
        <family val="1"/>
      </rPr>
      <t>2.348</t>
    </r>
  </si>
  <si>
    <r>
      <t>Y=0.461X</t>
    </r>
    <r>
      <rPr>
        <vertAlign val="superscript"/>
        <sz val="16"/>
        <color indexed="8"/>
        <rFont val="Angsana New"/>
        <family val="1"/>
      </rPr>
      <t>2.120</t>
    </r>
  </si>
  <si>
    <r>
      <t>Y=0.345X</t>
    </r>
    <r>
      <rPr>
        <vertAlign val="superscript"/>
        <sz val="16"/>
        <color indexed="10"/>
        <rFont val="Angsana New"/>
        <family val="1"/>
      </rPr>
      <t>2.215</t>
    </r>
  </si>
  <si>
    <r>
      <t>Y=0.557X</t>
    </r>
    <r>
      <rPr>
        <vertAlign val="superscript"/>
        <sz val="16"/>
        <color indexed="8"/>
        <rFont val="Angsana New"/>
        <family val="1"/>
      </rPr>
      <t>1.988</t>
    </r>
  </si>
  <si>
    <t>1994-2020</t>
  </si>
  <si>
    <r>
      <t>Y=0.514X</t>
    </r>
    <r>
      <rPr>
        <vertAlign val="superscript"/>
        <sz val="16"/>
        <color indexed="10"/>
        <rFont val="Angsana New"/>
        <family val="1"/>
      </rPr>
      <t>0.714</t>
    </r>
  </si>
  <si>
    <r>
      <t>Y=0.819X</t>
    </r>
    <r>
      <rPr>
        <vertAlign val="superscript"/>
        <sz val="16"/>
        <rFont val="Angsana New"/>
        <family val="1"/>
      </rPr>
      <t>1.615</t>
    </r>
  </si>
  <si>
    <r>
      <t>Y=0.635X</t>
    </r>
    <r>
      <rPr>
        <vertAlign val="superscript"/>
        <sz val="16"/>
        <color indexed="10"/>
        <rFont val="Angsana New"/>
        <family val="1"/>
      </rPr>
      <t>1.497</t>
    </r>
  </si>
  <si>
    <r>
      <t>Y=0.440X</t>
    </r>
    <r>
      <rPr>
        <vertAlign val="superscript"/>
        <sz val="16"/>
        <rFont val="Angsana New"/>
        <family val="1"/>
      </rPr>
      <t>1.641</t>
    </r>
  </si>
  <si>
    <r>
      <t>Y=1.435X</t>
    </r>
    <r>
      <rPr>
        <vertAlign val="superscript"/>
        <sz val="16"/>
        <color indexed="10"/>
        <rFont val="Angsana New"/>
        <family val="1"/>
      </rPr>
      <t>1.247</t>
    </r>
  </si>
  <si>
    <r>
      <t>Y=1.425X</t>
    </r>
    <r>
      <rPr>
        <vertAlign val="superscript"/>
        <sz val="16"/>
        <color indexed="8"/>
        <rFont val="Angsana New"/>
        <family val="1"/>
      </rPr>
      <t>1.287</t>
    </r>
  </si>
  <si>
    <t>1996 - 2020</t>
  </si>
  <si>
    <r>
      <t>Y=1.253X</t>
    </r>
    <r>
      <rPr>
        <vertAlign val="superscript"/>
        <sz val="16"/>
        <color indexed="10"/>
        <rFont val="Angsana New"/>
        <family val="1"/>
      </rPr>
      <t>1.696</t>
    </r>
  </si>
  <si>
    <r>
      <t>Y=2.231X</t>
    </r>
    <r>
      <rPr>
        <vertAlign val="superscript"/>
        <sz val="16"/>
        <rFont val="Angsana New"/>
        <family val="1"/>
      </rPr>
      <t>1.571</t>
    </r>
  </si>
  <si>
    <t>2009 - 2020</t>
  </si>
  <si>
    <t>Y=6.197X1.584</t>
  </si>
  <si>
    <t>Y=3.895X1.440</t>
  </si>
  <si>
    <t>1997 - 2020</t>
  </si>
  <si>
    <r>
      <t>Y=1.751X</t>
    </r>
    <r>
      <rPr>
        <vertAlign val="superscript"/>
        <sz val="16"/>
        <color indexed="10"/>
        <rFont val="Angsana New"/>
        <family val="1"/>
      </rPr>
      <t>1.541</t>
    </r>
  </si>
  <si>
    <r>
      <t>Y=1.597X</t>
    </r>
    <r>
      <rPr>
        <vertAlign val="superscript"/>
        <sz val="16"/>
        <color indexed="8"/>
        <rFont val="Angsana New"/>
        <family val="1"/>
      </rPr>
      <t>1.506</t>
    </r>
  </si>
  <si>
    <t>1975 - 2020</t>
  </si>
  <si>
    <r>
      <t>Y=1.634X</t>
    </r>
    <r>
      <rPr>
        <vertAlign val="superscript"/>
        <sz val="16"/>
        <color indexed="10"/>
        <rFont val="Angsana New"/>
        <family val="1"/>
      </rPr>
      <t>1.618</t>
    </r>
  </si>
  <si>
    <r>
      <t>Y=0.814X</t>
    </r>
    <r>
      <rPr>
        <vertAlign val="superscript"/>
        <sz val="16"/>
        <color indexed="8"/>
        <rFont val="Angsana New"/>
        <family val="1"/>
      </rPr>
      <t>1.704</t>
    </r>
  </si>
  <si>
    <t>1997-2020</t>
  </si>
  <si>
    <r>
      <t>Y=3.681X</t>
    </r>
    <r>
      <rPr>
        <vertAlign val="superscript"/>
        <sz val="16"/>
        <color indexed="10"/>
        <rFont val="Angsana New"/>
        <family val="1"/>
      </rPr>
      <t>1.643</t>
    </r>
  </si>
  <si>
    <r>
      <t>Y=3.476X</t>
    </r>
    <r>
      <rPr>
        <vertAlign val="superscript"/>
        <sz val="16"/>
        <color indexed="8"/>
        <rFont val="Angsana New"/>
        <family val="1"/>
      </rPr>
      <t>1.626</t>
    </r>
  </si>
  <si>
    <r>
      <t>Y=0.805X</t>
    </r>
    <r>
      <rPr>
        <vertAlign val="superscript"/>
        <sz val="16"/>
        <color indexed="10"/>
        <rFont val="Angsana New"/>
        <family val="1"/>
      </rPr>
      <t>1.581</t>
    </r>
  </si>
  <si>
    <r>
      <t>Y=0.753X</t>
    </r>
    <r>
      <rPr>
        <vertAlign val="superscript"/>
        <sz val="16"/>
        <color indexed="8"/>
        <rFont val="Angsana New"/>
        <family val="1"/>
      </rPr>
      <t>1.574</t>
    </r>
  </si>
  <si>
    <t>2018-2020</t>
  </si>
  <si>
    <r>
      <t>Y=2.007X</t>
    </r>
    <r>
      <rPr>
        <vertAlign val="superscript"/>
        <sz val="16"/>
        <color indexed="10"/>
        <rFont val="Angsana New"/>
        <family val="1"/>
      </rPr>
      <t>1.609</t>
    </r>
  </si>
  <si>
    <r>
      <t>Y=2.024X</t>
    </r>
    <r>
      <rPr>
        <vertAlign val="superscript"/>
        <sz val="16"/>
        <color indexed="8"/>
        <rFont val="Angsana New"/>
        <family val="1"/>
      </rPr>
      <t>1.580</t>
    </r>
  </si>
  <si>
    <r>
      <t>Y=0.672X</t>
    </r>
    <r>
      <rPr>
        <vertAlign val="superscript"/>
        <sz val="16"/>
        <color indexed="10"/>
        <rFont val="Angsana New"/>
        <family val="1"/>
      </rPr>
      <t>1.710</t>
    </r>
  </si>
  <si>
    <r>
      <t>Y=0.212X</t>
    </r>
    <r>
      <rPr>
        <vertAlign val="superscript"/>
        <sz val="16"/>
        <rFont val="Angsana New"/>
        <family val="1"/>
      </rPr>
      <t>1.859</t>
    </r>
  </si>
  <si>
    <t>1978 - 2020</t>
  </si>
  <si>
    <r>
      <t>Y=1.415X</t>
    </r>
    <r>
      <rPr>
        <vertAlign val="superscript"/>
        <sz val="16"/>
        <color indexed="10"/>
        <rFont val="Angsana New"/>
        <family val="1"/>
      </rPr>
      <t>1.595</t>
    </r>
  </si>
  <si>
    <r>
      <t>Y=0.315X</t>
    </r>
    <r>
      <rPr>
        <vertAlign val="superscript"/>
        <sz val="16"/>
        <rFont val="Angsana New"/>
        <family val="1"/>
      </rPr>
      <t>1.834</t>
    </r>
  </si>
  <si>
    <r>
      <t>Y=1.995X</t>
    </r>
    <r>
      <rPr>
        <vertAlign val="superscript"/>
        <sz val="16"/>
        <color indexed="10"/>
        <rFont val="Angsana New"/>
        <family val="1"/>
      </rPr>
      <t>1.629</t>
    </r>
  </si>
  <si>
    <r>
      <t>Y=0.685X</t>
    </r>
    <r>
      <rPr>
        <vertAlign val="superscript"/>
        <sz val="16"/>
        <color indexed="8"/>
        <rFont val="Angsana New"/>
        <family val="1"/>
      </rPr>
      <t>1.676</t>
    </r>
  </si>
  <si>
    <r>
      <t>Y=0.335X</t>
    </r>
    <r>
      <rPr>
        <vertAlign val="superscript"/>
        <sz val="16"/>
        <color indexed="10"/>
        <rFont val="Angsana New"/>
        <family val="1"/>
      </rPr>
      <t>1.900</t>
    </r>
  </si>
  <si>
    <r>
      <t>Y=0.452X</t>
    </r>
    <r>
      <rPr>
        <vertAlign val="superscript"/>
        <sz val="16"/>
        <color indexed="8"/>
        <rFont val="Angsana New"/>
        <family val="1"/>
      </rPr>
      <t>1.774</t>
    </r>
  </si>
  <si>
    <r>
      <t>Y=2.228X</t>
    </r>
    <r>
      <rPr>
        <vertAlign val="superscript"/>
        <sz val="16"/>
        <color indexed="10"/>
        <rFont val="Angsana New"/>
        <family val="1"/>
      </rPr>
      <t>1.568</t>
    </r>
  </si>
  <si>
    <r>
      <t>Y=0.452X</t>
    </r>
    <r>
      <rPr>
        <vertAlign val="superscript"/>
        <sz val="16"/>
        <rFont val="Angsana New"/>
        <family val="1"/>
      </rPr>
      <t>1.774</t>
    </r>
  </si>
  <si>
    <r>
      <t>Y=0.446X</t>
    </r>
    <r>
      <rPr>
        <vertAlign val="superscript"/>
        <sz val="16"/>
        <color indexed="10"/>
        <rFont val="Angsana New"/>
        <family val="1"/>
      </rPr>
      <t>2.419</t>
    </r>
  </si>
  <si>
    <r>
      <t>Y=0.869X</t>
    </r>
    <r>
      <rPr>
        <vertAlign val="superscript"/>
        <sz val="16"/>
        <rFont val="Angsana New"/>
        <family val="1"/>
      </rPr>
      <t>2.074</t>
    </r>
  </si>
  <si>
    <t>1994 - 2020</t>
  </si>
  <si>
    <r>
      <t>Y=0.884X</t>
    </r>
    <r>
      <rPr>
        <vertAlign val="superscript"/>
        <sz val="16"/>
        <color indexed="10"/>
        <rFont val="Angsana New"/>
        <family val="1"/>
      </rPr>
      <t>1.504</t>
    </r>
  </si>
  <si>
    <r>
      <t>Y=2.342X</t>
    </r>
    <r>
      <rPr>
        <vertAlign val="superscript"/>
        <sz val="16"/>
        <color indexed="8"/>
        <rFont val="Angsana New"/>
        <family val="1"/>
      </rPr>
      <t>1.256</t>
    </r>
  </si>
  <si>
    <t>2018 - 2020</t>
  </si>
  <si>
    <r>
      <t>Y=2.731X</t>
    </r>
    <r>
      <rPr>
        <vertAlign val="superscript"/>
        <sz val="16"/>
        <color indexed="10"/>
        <rFont val="Angsana New"/>
        <family val="1"/>
      </rPr>
      <t>1.979</t>
    </r>
  </si>
  <si>
    <r>
      <t>Y=1.924X</t>
    </r>
    <r>
      <rPr>
        <vertAlign val="superscript"/>
        <sz val="16"/>
        <color indexed="8"/>
        <rFont val="Angsana New"/>
        <family val="1"/>
      </rPr>
      <t>1.869</t>
    </r>
  </si>
  <si>
    <t>TOTAL</t>
  </si>
  <si>
    <t>P.92</t>
  </si>
  <si>
    <t>P.92A</t>
  </si>
  <si>
    <t>เช็คแล้ว</t>
  </si>
  <si>
    <t>เลือกสมการนี้</t>
  </si>
  <si>
    <r>
      <t>y = 0.4799x</t>
    </r>
    <r>
      <rPr>
        <vertAlign val="superscript"/>
        <sz val="16"/>
        <rFont val="Angsana New"/>
        <family val="1"/>
      </rPr>
      <t>1.7730</t>
    </r>
  </si>
  <si>
    <t>1993 - 2021</t>
  </si>
  <si>
    <r>
      <t>y = 0.9258x</t>
    </r>
    <r>
      <rPr>
        <vertAlign val="superscript"/>
        <sz val="16"/>
        <color indexed="10"/>
        <rFont val="Angsana New"/>
        <family val="1"/>
      </rPr>
      <t>1.3542</t>
    </r>
  </si>
  <si>
    <r>
      <t>y = 1.3241x</t>
    </r>
    <r>
      <rPr>
        <vertAlign val="superscript"/>
        <sz val="16"/>
        <rFont val="Angsana New"/>
        <family val="1"/>
      </rPr>
      <t>1.5093</t>
    </r>
  </si>
  <si>
    <t>2007-2021</t>
  </si>
  <si>
    <t>2000 - 2021</t>
  </si>
  <si>
    <r>
      <t>y = 0.3149x</t>
    </r>
    <r>
      <rPr>
        <vertAlign val="superscript"/>
        <sz val="16"/>
        <color indexed="10"/>
        <rFont val="Angsana New"/>
        <family val="1"/>
      </rPr>
      <t>1.5114</t>
    </r>
  </si>
  <si>
    <r>
      <t>y = 2.2167x</t>
    </r>
    <r>
      <rPr>
        <vertAlign val="superscript"/>
        <sz val="16"/>
        <rFont val="Angsana New"/>
        <family val="1"/>
      </rPr>
      <t>1.4107</t>
    </r>
  </si>
  <si>
    <t>2006 - 2021</t>
  </si>
  <si>
    <r>
      <t>y = 0.9738x</t>
    </r>
    <r>
      <rPr>
        <vertAlign val="superscript"/>
        <sz val="16"/>
        <color indexed="10"/>
        <rFont val="Angsana New"/>
        <family val="1"/>
      </rPr>
      <t>1.9052</t>
    </r>
  </si>
  <si>
    <r>
      <t>y = 1.4337x</t>
    </r>
    <r>
      <rPr>
        <vertAlign val="superscript"/>
        <sz val="16"/>
        <rFont val="Angsana New"/>
        <family val="1"/>
      </rPr>
      <t>1.6368</t>
    </r>
  </si>
  <si>
    <r>
      <t>y = 3.1381x</t>
    </r>
    <r>
      <rPr>
        <vertAlign val="superscript"/>
        <sz val="16"/>
        <color indexed="10"/>
        <rFont val="Angsana New"/>
        <family val="1"/>
      </rPr>
      <t>1.6094</t>
    </r>
  </si>
  <si>
    <t>2005 - 2021</t>
  </si>
  <si>
    <r>
      <t>y = 4.1443x</t>
    </r>
    <r>
      <rPr>
        <vertAlign val="superscript"/>
        <sz val="16"/>
        <rFont val="Angsana New"/>
        <family val="1"/>
      </rPr>
      <t>1.4365</t>
    </r>
  </si>
  <si>
    <r>
      <t>Y=0.5184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2.1020</t>
    </r>
  </si>
  <si>
    <t>2016 - 2021</t>
  </si>
  <si>
    <t>1994-2021</t>
  </si>
  <si>
    <t>1996 - 2021</t>
  </si>
  <si>
    <t>2009 - 2021</t>
  </si>
  <si>
    <r>
      <t>Y=0.1410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1.9632</t>
    </r>
  </si>
  <si>
    <r>
      <t>Y=0.4054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1.6645</t>
    </r>
  </si>
  <si>
    <r>
      <t>Y=4.9792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1.4494</t>
    </r>
  </si>
  <si>
    <r>
      <t>Y=3.9684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1.4421</t>
    </r>
  </si>
  <si>
    <r>
      <t>Y= 0.9613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1.4210</t>
    </r>
  </si>
  <si>
    <r>
      <t>Y=1.1599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1.3736</t>
    </r>
  </si>
  <si>
    <r>
      <t>Y=3.4733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1.2789</t>
    </r>
  </si>
  <si>
    <r>
      <t>Y=1.0629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1.3910</t>
    </r>
  </si>
  <si>
    <r>
      <t>Y=0.3914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1.4012</t>
    </r>
  </si>
  <si>
    <r>
      <t>Y=1.2363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1.3082</t>
    </r>
  </si>
  <si>
    <r>
      <t>Y=1.8257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1.5437</t>
    </r>
  </si>
  <si>
    <r>
      <t>Y=6.3679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1.8080</t>
    </r>
  </si>
  <si>
    <r>
      <t>Y=3.0633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1.3252</t>
    </r>
  </si>
  <si>
    <r>
      <t>y = 0.6603x</t>
    </r>
    <r>
      <rPr>
        <vertAlign val="superscript"/>
        <sz val="16"/>
        <color indexed="10"/>
        <rFont val="Angsana New"/>
        <family val="1"/>
      </rPr>
      <t>1.7653</t>
    </r>
  </si>
  <si>
    <t>1997 - 2021</t>
  </si>
  <si>
    <r>
      <t>y = 1.5677x</t>
    </r>
    <r>
      <rPr>
        <vertAlign val="superscript"/>
        <sz val="16"/>
        <rFont val="Angsana New"/>
        <family val="1"/>
      </rPr>
      <t>1.5128</t>
    </r>
  </si>
  <si>
    <r>
      <t>y = 1.2834x</t>
    </r>
    <r>
      <rPr>
        <vertAlign val="superscript"/>
        <sz val="16"/>
        <color indexed="10"/>
        <rFont val="Angsana New"/>
        <family val="1"/>
      </rPr>
      <t>1.7103</t>
    </r>
  </si>
  <si>
    <t>1975 - 2021</t>
  </si>
  <si>
    <r>
      <t>y = 0.8387x</t>
    </r>
    <r>
      <rPr>
        <vertAlign val="superscript"/>
        <sz val="16"/>
        <rFont val="Angsana New"/>
        <family val="1"/>
      </rPr>
      <t>1.7044</t>
    </r>
  </si>
  <si>
    <t>1997-2021</t>
  </si>
  <si>
    <r>
      <t>y = 3.2130x</t>
    </r>
    <r>
      <rPr>
        <vertAlign val="superscript"/>
        <sz val="16"/>
        <rFont val="Angsana New"/>
        <family val="1"/>
      </rPr>
      <t>1.6681</t>
    </r>
  </si>
  <si>
    <r>
      <t>y = 0.4237x</t>
    </r>
    <r>
      <rPr>
        <vertAlign val="superscript"/>
        <sz val="16"/>
        <color indexed="10"/>
        <rFont val="Angsana New"/>
        <family val="1"/>
      </rPr>
      <t>1.6434</t>
    </r>
  </si>
  <si>
    <r>
      <t>y = 0.7306x</t>
    </r>
    <r>
      <rPr>
        <vertAlign val="superscript"/>
        <sz val="16"/>
        <rFont val="Angsana New"/>
        <family val="1"/>
      </rPr>
      <t>1.5776</t>
    </r>
  </si>
  <si>
    <t>1978 - 2021</t>
  </si>
  <si>
    <t>2018-2021</t>
  </si>
  <si>
    <r>
      <t>Y=0.2056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1.8671</t>
    </r>
  </si>
  <si>
    <r>
      <t>Y=0.3096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1.8738</t>
    </r>
  </si>
  <si>
    <r>
      <t>Y=0.3036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1.8445</t>
    </r>
  </si>
  <si>
    <r>
      <t>Y=0.4902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1.8390</t>
    </r>
  </si>
  <si>
    <r>
      <t>Y=0.6668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1.6889</t>
    </r>
  </si>
  <si>
    <r>
      <t>Y=1.4068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1.6965</t>
    </r>
  </si>
  <si>
    <r>
      <t>Y=2.8773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1.5459</t>
    </r>
  </si>
  <si>
    <r>
      <t>Y=0.3490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2.9045</t>
    </r>
  </si>
  <si>
    <r>
      <t>Y=0.8663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2.0906</t>
    </r>
  </si>
  <si>
    <r>
      <t>Y=0.8050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1.4064</t>
    </r>
  </si>
  <si>
    <t>1994 - 2021</t>
  </si>
  <si>
    <r>
      <t>Y=1.9488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0.8934</t>
    </r>
  </si>
  <si>
    <r>
      <t>Y=1.7721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1.8841</t>
    </r>
  </si>
  <si>
    <r>
      <t>Y=1.8905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1.8714</t>
    </r>
  </si>
  <si>
    <t>1992-2021</t>
  </si>
  <si>
    <r>
      <t>Y=2.6995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15862</t>
    </r>
  </si>
  <si>
    <r>
      <t>y = 0.4777x</t>
    </r>
    <r>
      <rPr>
        <vertAlign val="superscript"/>
        <sz val="16"/>
        <color indexed="10"/>
        <rFont val="Angsana New"/>
        <family val="1"/>
      </rPr>
      <t>1.5133</t>
    </r>
  </si>
  <si>
    <r>
      <t>y = 0.8320x</t>
    </r>
    <r>
      <rPr>
        <vertAlign val="superscript"/>
        <sz val="16"/>
        <rFont val="Angsana New"/>
        <family val="1"/>
      </rPr>
      <t>1.6343</t>
    </r>
  </si>
  <si>
    <t>2001 - 2021</t>
  </si>
  <si>
    <r>
      <t>Y=2.7669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1.4278</t>
    </r>
  </si>
  <si>
    <r>
      <t>Y=2.0439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1.4879</t>
    </r>
  </si>
  <si>
    <r>
      <t>Y=2.3672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1.4610</t>
    </r>
  </si>
  <si>
    <r>
      <t>y = 0.2366x</t>
    </r>
    <r>
      <rPr>
        <vertAlign val="superscript"/>
        <sz val="16"/>
        <color indexed="10"/>
        <rFont val="Angsana New"/>
        <family val="1"/>
      </rPr>
      <t>1.8315</t>
    </r>
  </si>
  <si>
    <r>
      <t>Y=1.7963x</t>
    </r>
    <r>
      <rPr>
        <vertAlign val="superscript"/>
        <sz val="16"/>
        <color indexed="8"/>
        <rFont val="Angsana New"/>
        <family val="1"/>
      </rPr>
      <t>1.5504</t>
    </r>
  </si>
  <si>
    <r>
      <t>Y=4.2131</t>
    </r>
    <r>
      <rPr>
        <sz val="12"/>
        <color indexed="8"/>
        <rFont val="Angsana New"/>
        <family val="1"/>
      </rPr>
      <t>X</t>
    </r>
    <r>
      <rPr>
        <vertAlign val="superscript"/>
        <sz val="18"/>
        <color indexed="8"/>
        <rFont val="Angsana New"/>
        <family val="1"/>
      </rPr>
      <t>1.4423</t>
    </r>
  </si>
  <si>
    <r>
      <t>Y = 5.2298x</t>
    </r>
    <r>
      <rPr>
        <vertAlign val="superscript"/>
        <sz val="16"/>
        <rFont val="Angsana New"/>
        <family val="1"/>
      </rPr>
      <t>1.3177</t>
    </r>
  </si>
  <si>
    <r>
      <t>Y=1.6682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1.4063</t>
    </r>
  </si>
  <si>
    <r>
      <t>Y=1.9707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1.4284</t>
    </r>
  </si>
  <si>
    <r>
      <t>Y=2.1011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1.5073</t>
    </r>
  </si>
  <si>
    <r>
      <t>Y=1.0091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2.0266</t>
    </r>
  </si>
  <si>
    <t>2014 - 2021</t>
  </si>
  <si>
    <r>
      <t>y = 0.2547x</t>
    </r>
    <r>
      <rPr>
        <vertAlign val="superscript"/>
        <sz val="16"/>
        <color indexed="10"/>
        <rFont val="Angsana New"/>
        <family val="1"/>
      </rPr>
      <t>0.8832</t>
    </r>
  </si>
  <si>
    <r>
      <t>y = 0.6868x</t>
    </r>
    <r>
      <rPr>
        <vertAlign val="superscript"/>
        <sz val="16"/>
        <rFont val="Angsana New"/>
        <family val="1"/>
      </rPr>
      <t>1.6249</t>
    </r>
  </si>
  <si>
    <r>
      <t>Y=1.2181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1.3384</t>
    </r>
  </si>
  <si>
    <r>
      <t>Y=1.3446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1.3572</t>
    </r>
  </si>
  <si>
    <r>
      <t>Y=1.3668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1.4643</t>
    </r>
  </si>
  <si>
    <r>
      <t>Y=2.1843</t>
    </r>
    <r>
      <rPr>
        <sz val="12"/>
        <rFont val="Angsana New"/>
        <family val="1"/>
      </rPr>
      <t>X</t>
    </r>
    <r>
      <rPr>
        <vertAlign val="superscript"/>
        <sz val="16"/>
        <rFont val="Angsana New"/>
        <family val="1"/>
      </rPr>
      <t>1.5668</t>
    </r>
  </si>
  <si>
    <r>
      <t>Y=2.0064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1.3531</t>
    </r>
  </si>
  <si>
    <r>
      <t>Y=0.1848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1.9124</t>
    </r>
  </si>
  <si>
    <t>2018 - 2021</t>
  </si>
  <si>
    <r>
      <t>Y=0.8985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1.3520</t>
    </r>
  </si>
  <si>
    <r>
      <t>Y=1.8557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1.6323</t>
    </r>
  </si>
  <si>
    <r>
      <t>Y=3.4394</t>
    </r>
    <r>
      <rPr>
        <sz val="12"/>
        <color indexed="10"/>
        <rFont val="Angsana New"/>
        <family val="1"/>
      </rPr>
      <t>X</t>
    </r>
    <r>
      <rPr>
        <vertAlign val="superscript"/>
        <sz val="16"/>
        <color indexed="10"/>
        <rFont val="Angsana New"/>
        <family val="1"/>
      </rPr>
      <t>1.5162</t>
    </r>
  </si>
  <si>
    <r>
      <t>Y=0.7069</t>
    </r>
    <r>
      <rPr>
        <sz val="12"/>
        <color indexed="8"/>
        <rFont val="Angsana New"/>
        <family val="1"/>
      </rPr>
      <t>X</t>
    </r>
    <r>
      <rPr>
        <vertAlign val="superscript"/>
        <sz val="16"/>
        <color indexed="8"/>
        <rFont val="Angsana New"/>
        <family val="1"/>
      </rPr>
      <t>1.9285</t>
    </r>
  </si>
  <si>
    <r>
      <t>y = 2.3435x</t>
    </r>
    <r>
      <rPr>
        <vertAlign val="superscript"/>
        <sz val="16"/>
        <color indexed="10"/>
        <rFont val="Angsana New"/>
        <family val="1"/>
      </rPr>
      <t>1.7955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</si>
</sst>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"/>
    <numFmt numFmtId="204" formatCode="0.000000"/>
    <numFmt numFmtId="205" formatCode="0.0000"/>
    <numFmt numFmtId="206" formatCode="0.000"/>
    <numFmt numFmtId="207" formatCode="_-* #,##0.0_-;\-* #,##0.0_-;_-* &quot;-&quot;??_-;_-@_-"/>
    <numFmt numFmtId="208" formatCode="_-* #,##0_-;\-* #,##0_-;_-* &quot;-&quot;??_-;_-@_-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0.0"/>
    <numFmt numFmtId="217" formatCode="#,##0.0"/>
    <numFmt numFmtId="218" formatCode="#,##0.000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_-;\-* #,##0.000_-;_-* &quot;-&quot;??_-;_-@_-"/>
    <numFmt numFmtId="224" formatCode="_-* #,##0.0000_-;\-* #,##0.0000_-;_-* &quot;-&quot;??_-;_-@_-"/>
  </numFmts>
  <fonts count="68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2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  <font>
      <sz val="12"/>
      <color indexed="10"/>
      <name val="Angsana New"/>
      <family val="1"/>
    </font>
    <font>
      <sz val="12"/>
      <color indexed="8"/>
      <name val="Angsana New"/>
      <family val="1"/>
    </font>
    <font>
      <sz val="12"/>
      <name val="Angsana New"/>
      <family val="1"/>
    </font>
    <font>
      <vertAlign val="superscript"/>
      <sz val="18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3"/>
      <name val="Angsana New"/>
      <family val="1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rgb="FFFFFF00"/>
      <name val="Angsana New"/>
      <family val="1"/>
    </font>
    <font>
      <sz val="16"/>
      <color rgb="FF000000"/>
      <name val="AngsanaUPC"/>
      <family val="1"/>
    </font>
    <font>
      <sz val="16"/>
      <color rgb="FF000000"/>
      <name val="Angsana New"/>
      <family val="1"/>
    </font>
    <font>
      <sz val="12"/>
      <color rgb="FFFF0000"/>
      <name val="Angsana New"/>
      <family val="1"/>
    </font>
    <font>
      <sz val="16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12" fontId="6" fillId="0" borderId="13" xfId="0" applyNumberFormat="1" applyFont="1" applyBorder="1" applyAlignment="1">
      <alignment/>
    </xf>
    <xf numFmtId="212" fontId="4" fillId="0" borderId="0" xfId="0" applyNumberFormat="1" applyFont="1" applyAlignment="1">
      <alignment/>
    </xf>
    <xf numFmtId="212" fontId="6" fillId="0" borderId="15" xfId="0" applyNumberFormat="1" applyFont="1" applyBorder="1" applyAlignment="1">
      <alignment/>
    </xf>
    <xf numFmtId="212" fontId="1" fillId="33" borderId="16" xfId="0" applyNumberFormat="1" applyFont="1" applyFill="1" applyBorder="1" applyAlignment="1">
      <alignment horizontal="center" vertical="center"/>
    </xf>
    <xf numFmtId="215" fontId="6" fillId="0" borderId="10" xfId="0" applyNumberFormat="1" applyFont="1" applyBorder="1" applyAlignment="1">
      <alignment/>
    </xf>
    <xf numFmtId="215" fontId="6" fillId="0" borderId="11" xfId="0" applyNumberFormat="1" applyFont="1" applyBorder="1" applyAlignment="1">
      <alignment/>
    </xf>
    <xf numFmtId="215" fontId="6" fillId="0" borderId="12" xfId="0" applyNumberFormat="1" applyFont="1" applyBorder="1" applyAlignment="1">
      <alignment/>
    </xf>
    <xf numFmtId="215" fontId="6" fillId="0" borderId="14" xfId="0" applyNumberFormat="1" applyFont="1" applyBorder="1" applyAlignment="1">
      <alignment/>
    </xf>
    <xf numFmtId="212" fontId="1" fillId="33" borderId="17" xfId="0" applyNumberFormat="1" applyFont="1" applyFill="1" applyBorder="1" applyAlignment="1">
      <alignment horizontal="left" vertical="center"/>
    </xf>
    <xf numFmtId="212" fontId="6" fillId="0" borderId="18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205" fontId="12" fillId="0" borderId="0" xfId="0" applyNumberFormat="1" applyFont="1" applyAlignment="1">
      <alignment horizontal="center"/>
    </xf>
    <xf numFmtId="212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33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05" fontId="1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05" fontId="17" fillId="0" borderId="10" xfId="0" applyNumberFormat="1" applyFont="1" applyFill="1" applyBorder="1" applyAlignment="1">
      <alignment horizontal="center"/>
    </xf>
    <xf numFmtId="205" fontId="17" fillId="0" borderId="10" xfId="0" applyNumberFormat="1" applyFont="1" applyFill="1" applyBorder="1" applyAlignment="1">
      <alignment/>
    </xf>
    <xf numFmtId="212" fontId="17" fillId="0" borderId="10" xfId="0" applyNumberFormat="1" applyFont="1" applyFill="1" applyBorder="1" applyAlignment="1">
      <alignment/>
    </xf>
    <xf numFmtId="3" fontId="17" fillId="0" borderId="10" xfId="36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05" fontId="17" fillId="0" borderId="11" xfId="0" applyNumberFormat="1" applyFont="1" applyFill="1" applyBorder="1" applyAlignment="1">
      <alignment/>
    </xf>
    <xf numFmtId="212" fontId="17" fillId="0" borderId="11" xfId="0" applyNumberFormat="1" applyFont="1" applyFill="1" applyBorder="1" applyAlignment="1">
      <alignment/>
    </xf>
    <xf numFmtId="3" fontId="17" fillId="0" borderId="11" xfId="36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212" fontId="17" fillId="0" borderId="24" xfId="0" applyNumberFormat="1" applyFont="1" applyFill="1" applyBorder="1" applyAlignment="1">
      <alignment/>
    </xf>
    <xf numFmtId="1" fontId="18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justify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205" fontId="17" fillId="0" borderId="11" xfId="0" applyNumberFormat="1" applyFont="1" applyFill="1" applyBorder="1" applyAlignment="1">
      <alignment horizontal="center" vertical="center"/>
    </xf>
    <xf numFmtId="205" fontId="17" fillId="0" borderId="11" xfId="0" applyNumberFormat="1" applyFont="1" applyFill="1" applyBorder="1" applyAlignment="1">
      <alignment vertical="center"/>
    </xf>
    <xf numFmtId="212" fontId="17" fillId="0" borderId="11" xfId="0" applyNumberFormat="1" applyFont="1" applyFill="1" applyBorder="1" applyAlignment="1">
      <alignment vertical="center"/>
    </xf>
    <xf numFmtId="3" fontId="17" fillId="0" borderId="11" xfId="36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205" fontId="17" fillId="0" borderId="25" xfId="0" applyNumberFormat="1" applyFont="1" applyFill="1" applyBorder="1" applyAlignment="1">
      <alignment horizontal="center" vertical="center"/>
    </xf>
    <xf numFmtId="205" fontId="17" fillId="0" borderId="25" xfId="0" applyNumberFormat="1" applyFont="1" applyFill="1" applyBorder="1" applyAlignment="1">
      <alignment vertical="center"/>
    </xf>
    <xf numFmtId="212" fontId="17" fillId="0" borderId="25" xfId="0" applyNumberFormat="1" applyFont="1" applyFill="1" applyBorder="1" applyAlignment="1">
      <alignment vertical="center"/>
    </xf>
    <xf numFmtId="3" fontId="17" fillId="0" borderId="25" xfId="36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205" fontId="17" fillId="0" borderId="14" xfId="0" applyNumberFormat="1" applyFont="1" applyFill="1" applyBorder="1" applyAlignment="1">
      <alignment horizontal="center" vertical="center"/>
    </xf>
    <xf numFmtId="205" fontId="17" fillId="0" borderId="14" xfId="0" applyNumberFormat="1" applyFont="1" applyFill="1" applyBorder="1" applyAlignment="1">
      <alignment vertical="center"/>
    </xf>
    <xf numFmtId="212" fontId="17" fillId="0" borderId="14" xfId="0" applyNumberFormat="1" applyFont="1" applyFill="1" applyBorder="1" applyAlignment="1">
      <alignment vertical="center"/>
    </xf>
    <xf numFmtId="3" fontId="17" fillId="0" borderId="14" xfId="36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205" fontId="17" fillId="0" borderId="24" xfId="0" applyNumberFormat="1" applyFont="1" applyFill="1" applyBorder="1" applyAlignment="1">
      <alignment horizontal="center"/>
    </xf>
    <xf numFmtId="205" fontId="17" fillId="0" borderId="24" xfId="0" applyNumberFormat="1" applyFont="1" applyFill="1" applyBorder="1" applyAlignment="1">
      <alignment/>
    </xf>
    <xf numFmtId="3" fontId="17" fillId="0" borderId="24" xfId="36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 vertical="justify"/>
    </xf>
    <xf numFmtId="0" fontId="17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05" fontId="17" fillId="0" borderId="14" xfId="0" applyNumberFormat="1" applyFont="1" applyFill="1" applyBorder="1" applyAlignment="1">
      <alignment horizontal="center"/>
    </xf>
    <xf numFmtId="205" fontId="17" fillId="0" borderId="14" xfId="0" applyNumberFormat="1" applyFont="1" applyFill="1" applyBorder="1" applyAlignment="1">
      <alignment/>
    </xf>
    <xf numFmtId="212" fontId="17" fillId="0" borderId="14" xfId="0" applyNumberFormat="1" applyFont="1" applyFill="1" applyBorder="1" applyAlignment="1">
      <alignment/>
    </xf>
    <xf numFmtId="3" fontId="17" fillId="0" borderId="14" xfId="36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 vertical="justify"/>
    </xf>
    <xf numFmtId="0" fontId="15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05" fontId="17" fillId="0" borderId="24" xfId="0" applyNumberFormat="1" applyFont="1" applyFill="1" applyBorder="1" applyAlignment="1">
      <alignment horizontal="center" vertical="center"/>
    </xf>
    <xf numFmtId="205" fontId="17" fillId="0" borderId="24" xfId="0" applyNumberFormat="1" applyFont="1" applyFill="1" applyBorder="1" applyAlignment="1">
      <alignment vertical="center"/>
    </xf>
    <xf numFmtId="212" fontId="17" fillId="0" borderId="24" xfId="0" applyNumberFormat="1" applyFont="1" applyFill="1" applyBorder="1" applyAlignment="1">
      <alignment vertical="center"/>
    </xf>
    <xf numFmtId="3" fontId="17" fillId="0" borderId="24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left"/>
    </xf>
    <xf numFmtId="0" fontId="14" fillId="0" borderId="26" xfId="0" applyFont="1" applyBorder="1" applyAlignment="1">
      <alignment/>
    </xf>
    <xf numFmtId="212" fontId="14" fillId="0" borderId="2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12" fontId="14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05" fontId="17" fillId="0" borderId="0" xfId="0" applyNumberFormat="1" applyFont="1" applyFill="1" applyBorder="1" applyAlignment="1">
      <alignment horizontal="center"/>
    </xf>
    <xf numFmtId="205" fontId="17" fillId="0" borderId="0" xfId="0" applyNumberFormat="1" applyFont="1" applyFill="1" applyBorder="1" applyAlignment="1">
      <alignment/>
    </xf>
    <xf numFmtId="212" fontId="1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208" fontId="17" fillId="0" borderId="0" xfId="36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208" fontId="18" fillId="0" borderId="0" xfId="36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205" fontId="17" fillId="0" borderId="0" xfId="0" applyNumberFormat="1" applyFont="1" applyBorder="1" applyAlignment="1">
      <alignment horizontal="center"/>
    </xf>
    <xf numFmtId="212" fontId="17" fillId="0" borderId="0" xfId="0" applyNumberFormat="1" applyFont="1" applyBorder="1" applyAlignment="1">
      <alignment/>
    </xf>
    <xf numFmtId="41" fontId="17" fillId="0" borderId="0" xfId="36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205" fontId="14" fillId="0" borderId="11" xfId="0" applyNumberFormat="1" applyFont="1" applyFill="1" applyBorder="1" applyAlignment="1">
      <alignment horizontal="center"/>
    </xf>
    <xf numFmtId="205" fontId="14" fillId="0" borderId="11" xfId="0" applyNumberFormat="1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1" fontId="17" fillId="0" borderId="31" xfId="0" applyNumberFormat="1" applyFont="1" applyFill="1" applyBorder="1" applyAlignment="1">
      <alignment horizontal="center"/>
    </xf>
    <xf numFmtId="1" fontId="17" fillId="0" borderId="32" xfId="0" applyNumberFormat="1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12" fontId="14" fillId="0" borderId="0" xfId="0" applyNumberFormat="1" applyFont="1" applyAlignment="1">
      <alignment/>
    </xf>
    <xf numFmtId="212" fontId="14" fillId="0" borderId="0" xfId="0" applyNumberFormat="1" applyFont="1" applyAlignment="1">
      <alignment vertical="center"/>
    </xf>
    <xf numFmtId="0" fontId="62" fillId="0" borderId="11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05" fontId="14" fillId="0" borderId="10" xfId="0" applyNumberFormat="1" applyFont="1" applyFill="1" applyBorder="1" applyAlignment="1">
      <alignment horizontal="center"/>
    </xf>
    <xf numFmtId="205" fontId="14" fillId="0" borderId="0" xfId="0" applyNumberFormat="1" applyFont="1" applyFill="1" applyAlignment="1">
      <alignment horizontal="center"/>
    </xf>
    <xf numFmtId="205" fontId="14" fillId="0" borderId="11" xfId="0" applyNumberFormat="1" applyFont="1" applyBorder="1" applyAlignment="1">
      <alignment/>
    </xf>
    <xf numFmtId="205" fontId="14" fillId="0" borderId="26" xfId="0" applyNumberFormat="1" applyFont="1" applyBorder="1" applyAlignment="1">
      <alignment/>
    </xf>
    <xf numFmtId="0" fontId="13" fillId="33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3" fillId="35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205" fontId="64" fillId="0" borderId="11" xfId="0" applyNumberFormat="1" applyFont="1" applyFill="1" applyBorder="1" applyAlignment="1">
      <alignment horizontal="center" vertical="center" readingOrder="2"/>
    </xf>
    <xf numFmtId="205" fontId="65" fillId="0" borderId="11" xfId="0" applyNumberFormat="1" applyFont="1" applyFill="1" applyBorder="1" applyAlignment="1">
      <alignment horizontal="center" vertical="center" readingOrder="1"/>
    </xf>
    <xf numFmtId="0" fontId="66" fillId="0" borderId="11" xfId="0" applyFont="1" applyFill="1" applyBorder="1" applyAlignment="1">
      <alignment horizontal="center" vertical="justify"/>
    </xf>
    <xf numFmtId="1" fontId="14" fillId="0" borderId="26" xfId="0" applyNumberFormat="1" applyFont="1" applyBorder="1" applyAlignment="1">
      <alignment/>
    </xf>
    <xf numFmtId="0" fontId="14" fillId="0" borderId="31" xfId="0" applyFont="1" applyBorder="1" applyAlignment="1">
      <alignment/>
    </xf>
    <xf numFmtId="1" fontId="14" fillId="0" borderId="11" xfId="0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/>
    </xf>
    <xf numFmtId="3" fontId="17" fillId="0" borderId="11" xfId="0" applyNumberFormat="1" applyFont="1" applyFill="1" applyBorder="1" applyAlignment="1">
      <alignment horizontal="center" vertical="center"/>
    </xf>
    <xf numFmtId="208" fontId="14" fillId="0" borderId="11" xfId="36" applyNumberFormat="1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212" fontId="17" fillId="36" borderId="11" xfId="0" applyNumberFormat="1" applyFont="1" applyFill="1" applyBorder="1" applyAlignment="1">
      <alignment vertical="center"/>
    </xf>
    <xf numFmtId="205" fontId="14" fillId="0" borderId="0" xfId="0" applyNumberFormat="1" applyFont="1" applyAlignment="1">
      <alignment horizontal="center"/>
    </xf>
    <xf numFmtId="205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212" fontId="14" fillId="0" borderId="0" xfId="0" applyNumberFormat="1" applyFont="1" applyAlignment="1">
      <alignment horizontal="left"/>
    </xf>
    <xf numFmtId="213" fontId="14" fillId="0" borderId="0" xfId="0" applyNumberFormat="1" applyFont="1" applyAlignment="1">
      <alignment horizontal="left"/>
    </xf>
    <xf numFmtId="212" fontId="14" fillId="0" borderId="11" xfId="0" applyNumberFormat="1" applyFont="1" applyFill="1" applyBorder="1" applyAlignment="1">
      <alignment/>
    </xf>
    <xf numFmtId="212" fontId="14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/>
    </xf>
    <xf numFmtId="0" fontId="13" fillId="33" borderId="35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205" fontId="13" fillId="33" borderId="35" xfId="0" applyNumberFormat="1" applyFont="1" applyFill="1" applyBorder="1" applyAlignment="1">
      <alignment horizontal="center" vertical="center"/>
    </xf>
    <xf numFmtId="212" fontId="9" fillId="33" borderId="17" xfId="0" applyNumberFormat="1" applyFont="1" applyFill="1" applyBorder="1" applyAlignment="1">
      <alignment horizontal="center" vertical="center"/>
    </xf>
    <xf numFmtId="212" fontId="9" fillId="33" borderId="16" xfId="0" applyNumberFormat="1" applyFont="1" applyFill="1" applyBorder="1" applyAlignment="1">
      <alignment horizontal="center" vertical="center"/>
    </xf>
    <xf numFmtId="212" fontId="9" fillId="33" borderId="36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212" fontId="13" fillId="33" borderId="35" xfId="0" applyNumberFormat="1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212" fontId="5" fillId="33" borderId="35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="115" zoomScaleNormal="115" zoomScalePageLayoutView="0" workbookViewId="0" topLeftCell="A19">
      <selection activeCell="N30" sqref="N30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8.8515625" style="22" bestFit="1" customWidth="1"/>
    <col min="12" max="12" width="18.57421875" style="32" bestFit="1" customWidth="1"/>
    <col min="13" max="14" width="9.140625" style="22" customWidth="1"/>
    <col min="15" max="15" width="12.28125" style="22" bestFit="1" customWidth="1"/>
    <col min="16" max="16384" width="9.140625" style="22" customWidth="1"/>
  </cols>
  <sheetData>
    <row r="1" spans="1:12" ht="29.25">
      <c r="A1" s="195" t="s">
        <v>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24" customFormat="1" ht="23.25">
      <c r="A2" s="191" t="s">
        <v>7</v>
      </c>
      <c r="B2" s="191" t="s">
        <v>0</v>
      </c>
      <c r="C2" s="191" t="s">
        <v>6</v>
      </c>
      <c r="D2" s="198" t="s">
        <v>5</v>
      </c>
      <c r="E2" s="199"/>
      <c r="F2" s="199"/>
      <c r="G2" s="201" t="s">
        <v>1</v>
      </c>
      <c r="H2" s="194" t="s">
        <v>4</v>
      </c>
      <c r="I2" s="191" t="s">
        <v>2</v>
      </c>
      <c r="J2" s="200" t="s">
        <v>3</v>
      </c>
      <c r="K2" s="23" t="s">
        <v>31</v>
      </c>
      <c r="L2" s="192" t="s">
        <v>34</v>
      </c>
    </row>
    <row r="3" spans="1:12" s="24" customFormat="1" ht="25.5">
      <c r="A3" s="191"/>
      <c r="B3" s="191"/>
      <c r="C3" s="191"/>
      <c r="D3" s="25" t="s">
        <v>8</v>
      </c>
      <c r="E3" s="26" t="s">
        <v>10</v>
      </c>
      <c r="F3" s="33" t="s">
        <v>9</v>
      </c>
      <c r="G3" s="201"/>
      <c r="H3" s="194"/>
      <c r="I3" s="191"/>
      <c r="J3" s="200"/>
      <c r="K3" s="27" t="s">
        <v>32</v>
      </c>
      <c r="L3" s="193"/>
    </row>
    <row r="4" spans="1:12" s="24" customFormat="1" ht="25.5">
      <c r="A4" s="40">
        <v>1</v>
      </c>
      <c r="B4" s="135" t="s">
        <v>11</v>
      </c>
      <c r="C4" s="40">
        <v>2020</v>
      </c>
      <c r="D4" s="40">
        <v>30</v>
      </c>
      <c r="E4" s="41">
        <v>0</v>
      </c>
      <c r="F4" s="42">
        <f>E4+D4</f>
        <v>30</v>
      </c>
      <c r="G4" s="35" t="s">
        <v>67</v>
      </c>
      <c r="H4" s="43">
        <v>0.948</v>
      </c>
      <c r="I4" s="44">
        <v>1.556</v>
      </c>
      <c r="J4" s="45">
        <f>LOG(1.295)</f>
        <v>0.11226976841727061</v>
      </c>
      <c r="K4" s="46">
        <v>6350</v>
      </c>
      <c r="L4" s="47"/>
    </row>
    <row r="5" spans="1:17" s="24" customFormat="1" ht="25.5">
      <c r="A5" s="36"/>
      <c r="B5" s="36"/>
      <c r="C5" s="36" t="s">
        <v>64</v>
      </c>
      <c r="D5" s="36">
        <v>833</v>
      </c>
      <c r="E5" s="48">
        <v>0</v>
      </c>
      <c r="F5" s="55">
        <f>E5+D5</f>
        <v>833</v>
      </c>
      <c r="G5" s="36" t="s">
        <v>65</v>
      </c>
      <c r="H5" s="37">
        <v>0.865</v>
      </c>
      <c r="I5" s="50">
        <v>1.497</v>
      </c>
      <c r="J5" s="51">
        <f>LOG(1.414)</f>
        <v>0.1504494094608806</v>
      </c>
      <c r="K5" s="52"/>
      <c r="L5" s="53"/>
      <c r="Q5" s="129"/>
    </row>
    <row r="6" spans="1:12" s="24" customFormat="1" ht="25.5">
      <c r="A6" s="36"/>
      <c r="B6" s="36"/>
      <c r="C6" s="36"/>
      <c r="D6" s="36"/>
      <c r="E6" s="48"/>
      <c r="F6" s="49"/>
      <c r="G6" s="36"/>
      <c r="H6" s="37"/>
      <c r="I6" s="50"/>
      <c r="J6" s="54"/>
      <c r="K6" s="52"/>
      <c r="L6" s="53"/>
    </row>
    <row r="7" spans="1:17" s="24" customFormat="1" ht="25.5">
      <c r="A7" s="36">
        <f>+A4+1</f>
        <v>2</v>
      </c>
      <c r="B7" s="136" t="s">
        <v>12</v>
      </c>
      <c r="C7" s="36">
        <v>2020</v>
      </c>
      <c r="D7" s="36">
        <v>25</v>
      </c>
      <c r="E7" s="48">
        <v>0</v>
      </c>
      <c r="F7" s="55">
        <f>E7+D7</f>
        <v>25</v>
      </c>
      <c r="G7" s="35" t="s">
        <v>68</v>
      </c>
      <c r="H7" s="37">
        <v>0.513</v>
      </c>
      <c r="I7" s="50">
        <v>1.528</v>
      </c>
      <c r="J7" s="51">
        <f>LOG(2.645)</f>
        <v>0.42242567637120454</v>
      </c>
      <c r="K7" s="52">
        <v>1930</v>
      </c>
      <c r="L7" s="53"/>
      <c r="Q7" s="129"/>
    </row>
    <row r="8" spans="1:12" s="24" customFormat="1" ht="25.5">
      <c r="A8" s="36"/>
      <c r="B8" s="36"/>
      <c r="C8" s="36" t="s">
        <v>66</v>
      </c>
      <c r="D8" s="36">
        <v>431</v>
      </c>
      <c r="E8" s="36">
        <v>0</v>
      </c>
      <c r="F8" s="55">
        <f>E8+D8</f>
        <v>431</v>
      </c>
      <c r="G8" s="97" t="s">
        <v>69</v>
      </c>
      <c r="H8" s="37">
        <v>0.88</v>
      </c>
      <c r="I8" s="50">
        <v>1.591</v>
      </c>
      <c r="J8" s="51">
        <f>LOG(2.761)</f>
        <v>0.4410664066392632</v>
      </c>
      <c r="K8" s="52"/>
      <c r="L8" s="53"/>
    </row>
    <row r="9" spans="1:12" s="24" customFormat="1" ht="25.5">
      <c r="A9" s="36"/>
      <c r="B9" s="36"/>
      <c r="C9" s="36"/>
      <c r="D9" s="36"/>
      <c r="E9" s="48"/>
      <c r="F9" s="49"/>
      <c r="G9" s="35"/>
      <c r="H9" s="37"/>
      <c r="I9" s="50"/>
      <c r="J9" s="51"/>
      <c r="K9" s="52"/>
      <c r="L9" s="53"/>
    </row>
    <row r="10" spans="1:12" s="24" customFormat="1" ht="25.5">
      <c r="A10" s="36">
        <f>+A7+1</f>
        <v>3</v>
      </c>
      <c r="B10" s="137" t="s">
        <v>40</v>
      </c>
      <c r="C10" s="36">
        <v>2020</v>
      </c>
      <c r="D10" s="36">
        <v>20</v>
      </c>
      <c r="E10" s="48">
        <v>0</v>
      </c>
      <c r="F10" s="49">
        <f>E10+D10</f>
        <v>20</v>
      </c>
      <c r="G10" s="35" t="s">
        <v>72</v>
      </c>
      <c r="H10" s="37">
        <v>0.958</v>
      </c>
      <c r="I10" s="50">
        <v>1.259</v>
      </c>
      <c r="J10" s="51">
        <f>LOG(1.749)</f>
        <v>0.24278980947867654</v>
      </c>
      <c r="K10" s="52">
        <v>1569</v>
      </c>
      <c r="L10" s="53"/>
    </row>
    <row r="11" spans="1:12" s="24" customFormat="1" ht="25.5">
      <c r="A11" s="36"/>
      <c r="B11" s="36"/>
      <c r="C11" s="36" t="s">
        <v>70</v>
      </c>
      <c r="D11" s="36">
        <v>387</v>
      </c>
      <c r="E11" s="36">
        <v>0</v>
      </c>
      <c r="F11" s="49">
        <f>E11+D11</f>
        <v>387</v>
      </c>
      <c r="G11" s="36" t="s">
        <v>71</v>
      </c>
      <c r="H11" s="37">
        <v>0.858</v>
      </c>
      <c r="I11" s="50">
        <v>1.369</v>
      </c>
      <c r="J11" s="51">
        <f>LOG(1.178)</f>
        <v>0.07114529045108281</v>
      </c>
      <c r="K11" s="52"/>
      <c r="L11" s="53"/>
    </row>
    <row r="12" spans="1:12" s="24" customFormat="1" ht="25.5">
      <c r="A12" s="36"/>
      <c r="B12" s="36"/>
      <c r="C12" s="36"/>
      <c r="D12" s="36"/>
      <c r="E12" s="48"/>
      <c r="F12" s="49"/>
      <c r="G12" s="36"/>
      <c r="H12" s="37"/>
      <c r="I12" s="50"/>
      <c r="J12" s="51"/>
      <c r="K12" s="52"/>
      <c r="L12" s="53"/>
    </row>
    <row r="13" spans="1:12" s="24" customFormat="1" ht="25.5">
      <c r="A13" s="36">
        <f>+A10+1</f>
        <v>4</v>
      </c>
      <c r="B13" s="136" t="s">
        <v>35</v>
      </c>
      <c r="C13" s="36">
        <v>2020</v>
      </c>
      <c r="D13" s="36">
        <v>26</v>
      </c>
      <c r="E13" s="48">
        <v>0</v>
      </c>
      <c r="F13" s="49">
        <f>E13+D13</f>
        <v>26</v>
      </c>
      <c r="G13" s="35" t="s">
        <v>74</v>
      </c>
      <c r="H13" s="37">
        <v>0.94</v>
      </c>
      <c r="I13" s="50">
        <v>1.65</v>
      </c>
      <c r="J13" s="51">
        <f>LOG(3.07)</f>
        <v>0.48713837547718647</v>
      </c>
      <c r="K13" s="52">
        <v>452</v>
      </c>
      <c r="L13" s="53"/>
    </row>
    <row r="14" spans="1:12" s="24" customFormat="1" ht="25.5">
      <c r="A14" s="36"/>
      <c r="B14" s="36"/>
      <c r="C14" s="36" t="s">
        <v>73</v>
      </c>
      <c r="D14" s="36">
        <v>586</v>
      </c>
      <c r="E14" s="48">
        <v>0</v>
      </c>
      <c r="F14" s="49">
        <f>E14+D14</f>
        <v>586</v>
      </c>
      <c r="G14" s="36" t="s">
        <v>75</v>
      </c>
      <c r="H14" s="37">
        <v>0.76</v>
      </c>
      <c r="I14" s="50">
        <v>1.392</v>
      </c>
      <c r="J14" s="51">
        <f>LOG(4.168)</f>
        <v>0.6199277102914681</v>
      </c>
      <c r="K14" s="52"/>
      <c r="L14" s="53"/>
    </row>
    <row r="15" spans="1:12" s="24" customFormat="1" ht="25.5">
      <c r="A15" s="36"/>
      <c r="B15" s="36"/>
      <c r="C15" s="36"/>
      <c r="D15" s="36"/>
      <c r="E15" s="48"/>
      <c r="F15" s="49"/>
      <c r="G15" s="36"/>
      <c r="H15" s="37"/>
      <c r="I15" s="50"/>
      <c r="J15" s="51"/>
      <c r="K15" s="52"/>
      <c r="L15" s="53"/>
    </row>
    <row r="16" spans="1:12" s="24" customFormat="1" ht="25.5">
      <c r="A16" s="36">
        <f>+A13+1</f>
        <v>5</v>
      </c>
      <c r="B16" s="136" t="s">
        <v>22</v>
      </c>
      <c r="C16" s="36">
        <v>2020</v>
      </c>
      <c r="D16" s="36">
        <v>24</v>
      </c>
      <c r="E16" s="48">
        <v>0</v>
      </c>
      <c r="F16" s="49">
        <f>E16+D16</f>
        <v>24</v>
      </c>
      <c r="G16" s="35" t="s">
        <v>77</v>
      </c>
      <c r="H16" s="37">
        <v>0.798</v>
      </c>
      <c r="I16" s="50">
        <v>1.494</v>
      </c>
      <c r="J16" s="51">
        <f>LOG(4.027)</f>
        <v>0.6049816296074316</v>
      </c>
      <c r="K16" s="52">
        <v>546</v>
      </c>
      <c r="L16" s="53"/>
    </row>
    <row r="17" spans="1:12" s="24" customFormat="1" ht="25.5">
      <c r="A17" s="36"/>
      <c r="B17" s="36"/>
      <c r="C17" s="36" t="s">
        <v>76</v>
      </c>
      <c r="D17" s="36">
        <v>583</v>
      </c>
      <c r="E17" s="48">
        <v>0</v>
      </c>
      <c r="F17" s="49">
        <f>E17+D17</f>
        <v>583</v>
      </c>
      <c r="G17" s="36" t="s">
        <v>75</v>
      </c>
      <c r="H17" s="37">
        <v>0.889</v>
      </c>
      <c r="I17" s="50">
        <v>1.392</v>
      </c>
      <c r="J17" s="51">
        <f>LOG(4.168)</f>
        <v>0.6199277102914681</v>
      </c>
      <c r="K17" s="52"/>
      <c r="L17" s="53"/>
    </row>
    <row r="18" spans="1:12" s="24" customFormat="1" ht="25.5">
      <c r="A18" s="36"/>
      <c r="B18" s="36"/>
      <c r="C18" s="36"/>
      <c r="D18" s="36"/>
      <c r="E18" s="48"/>
      <c r="F18" s="49"/>
      <c r="G18" s="36"/>
      <c r="H18" s="37"/>
      <c r="I18" s="50"/>
      <c r="J18" s="51"/>
      <c r="K18" s="52"/>
      <c r="L18" s="53"/>
    </row>
    <row r="19" spans="1:12" s="24" customFormat="1" ht="25.5">
      <c r="A19" s="36">
        <f>+A16+1</f>
        <v>6</v>
      </c>
      <c r="B19" s="136" t="s">
        <v>41</v>
      </c>
      <c r="C19" s="36">
        <v>2020</v>
      </c>
      <c r="D19" s="96">
        <v>23</v>
      </c>
      <c r="E19" s="48">
        <v>0</v>
      </c>
      <c r="F19" s="49">
        <f aca="true" t="shared" si="0" ref="F19:F26">E19+D19</f>
        <v>23</v>
      </c>
      <c r="G19" s="35" t="s">
        <v>78</v>
      </c>
      <c r="H19" s="37">
        <v>0.758</v>
      </c>
      <c r="I19" s="50">
        <v>1.486</v>
      </c>
      <c r="J19" s="51">
        <f>LOG(2.162)</f>
        <v>0.3348556896172915</v>
      </c>
      <c r="K19" s="52">
        <v>5323</v>
      </c>
      <c r="L19" s="53"/>
    </row>
    <row r="20" spans="1:12" s="24" customFormat="1" ht="25.5">
      <c r="A20" s="36"/>
      <c r="B20" s="36"/>
      <c r="C20" s="36" t="s">
        <v>70</v>
      </c>
      <c r="D20" s="36">
        <v>452</v>
      </c>
      <c r="E20" s="48">
        <v>0</v>
      </c>
      <c r="F20" s="49">
        <f t="shared" si="0"/>
        <v>452</v>
      </c>
      <c r="G20" s="36" t="s">
        <v>79</v>
      </c>
      <c r="H20" s="37">
        <v>0.875</v>
      </c>
      <c r="I20" s="50">
        <v>1.525</v>
      </c>
      <c r="J20" s="51">
        <f>LOG(85.987)</f>
        <v>1.934432797115343</v>
      </c>
      <c r="K20" s="52"/>
      <c r="L20" s="53"/>
    </row>
    <row r="21" spans="1:12" s="24" customFormat="1" ht="25.5">
      <c r="A21" s="36"/>
      <c r="B21" s="36"/>
      <c r="C21" s="36"/>
      <c r="D21" s="36"/>
      <c r="E21" s="48"/>
      <c r="F21" s="49"/>
      <c r="G21" s="36"/>
      <c r="H21" s="37"/>
      <c r="I21" s="50"/>
      <c r="J21" s="51"/>
      <c r="K21" s="52"/>
      <c r="L21" s="53"/>
    </row>
    <row r="22" spans="1:12" s="24" customFormat="1" ht="25.5">
      <c r="A22" s="36">
        <v>7</v>
      </c>
      <c r="B22" s="136" t="s">
        <v>37</v>
      </c>
      <c r="C22" s="36">
        <v>2020</v>
      </c>
      <c r="D22" s="36">
        <v>15</v>
      </c>
      <c r="E22" s="48">
        <v>0</v>
      </c>
      <c r="F22" s="49">
        <f t="shared" si="0"/>
        <v>15</v>
      </c>
      <c r="G22" s="35" t="s">
        <v>80</v>
      </c>
      <c r="H22" s="37">
        <v>0.918</v>
      </c>
      <c r="I22" s="50">
        <v>1.665</v>
      </c>
      <c r="J22" s="51">
        <f>LOG(1.665)</f>
        <v>0.22141423784233868</v>
      </c>
      <c r="K22" s="52">
        <v>14814</v>
      </c>
      <c r="L22" s="53"/>
    </row>
    <row r="23" spans="1:12" s="24" customFormat="1" ht="25.5">
      <c r="A23" s="36"/>
      <c r="B23" s="36"/>
      <c r="C23" s="36" t="s">
        <v>73</v>
      </c>
      <c r="D23" s="36">
        <v>396</v>
      </c>
      <c r="E23" s="48">
        <v>0</v>
      </c>
      <c r="F23" s="49">
        <f t="shared" si="0"/>
        <v>396</v>
      </c>
      <c r="G23" s="36" t="s">
        <v>81</v>
      </c>
      <c r="H23" s="37">
        <v>0.89</v>
      </c>
      <c r="I23" s="50">
        <v>1.363</v>
      </c>
      <c r="J23" s="51">
        <f>LOG(1.363)</f>
        <v>0.13449585583467355</v>
      </c>
      <c r="K23" s="52"/>
      <c r="L23" s="53"/>
    </row>
    <row r="24" spans="1:12" s="24" customFormat="1" ht="25.5">
      <c r="A24" s="36"/>
      <c r="B24" s="36"/>
      <c r="C24" s="36"/>
      <c r="D24" s="36"/>
      <c r="E24" s="48"/>
      <c r="F24" s="49"/>
      <c r="G24" s="36"/>
      <c r="H24" s="37"/>
      <c r="I24" s="50"/>
      <c r="J24" s="51"/>
      <c r="K24" s="52"/>
      <c r="L24" s="53"/>
    </row>
    <row r="25" spans="1:12" s="24" customFormat="1" ht="25.5">
      <c r="A25" s="36">
        <v>8</v>
      </c>
      <c r="B25" s="136" t="s">
        <v>57</v>
      </c>
      <c r="C25" s="36">
        <v>2020</v>
      </c>
      <c r="D25" s="36">
        <v>15</v>
      </c>
      <c r="E25" s="48">
        <v>0</v>
      </c>
      <c r="F25" s="49">
        <f t="shared" si="0"/>
        <v>15</v>
      </c>
      <c r="G25" s="132" t="s">
        <v>83</v>
      </c>
      <c r="H25" s="37">
        <v>0.901</v>
      </c>
      <c r="I25" s="50">
        <v>1.705</v>
      </c>
      <c r="J25" s="51">
        <f>LOG(0.173)</f>
        <v>-0.7619538968712046</v>
      </c>
      <c r="K25" s="52">
        <v>14814</v>
      </c>
      <c r="L25" s="53"/>
    </row>
    <row r="26" spans="1:12" s="24" customFormat="1" ht="25.5">
      <c r="A26" s="36"/>
      <c r="B26" s="36"/>
      <c r="C26" s="36" t="s">
        <v>82</v>
      </c>
      <c r="D26" s="36">
        <v>191</v>
      </c>
      <c r="E26" s="48">
        <v>0</v>
      </c>
      <c r="F26" s="49">
        <f t="shared" si="0"/>
        <v>191</v>
      </c>
      <c r="G26" s="36" t="s">
        <v>84</v>
      </c>
      <c r="H26" s="37">
        <v>0.904</v>
      </c>
      <c r="I26" s="50">
        <v>1.289</v>
      </c>
      <c r="J26" s="51">
        <f>LOG(1.289)</f>
        <v>0.110252917353403</v>
      </c>
      <c r="K26" s="52"/>
      <c r="L26" s="53"/>
    </row>
    <row r="27" spans="1:12" s="24" customFormat="1" ht="25.5">
      <c r="A27" s="36"/>
      <c r="B27" s="36"/>
      <c r="C27" s="36"/>
      <c r="D27" s="36"/>
      <c r="E27" s="48"/>
      <c r="F27" s="49"/>
      <c r="G27" s="36"/>
      <c r="H27" s="37"/>
      <c r="I27" s="50"/>
      <c r="J27" s="51"/>
      <c r="K27" s="52"/>
      <c r="L27" s="53"/>
    </row>
    <row r="28" spans="1:12" s="24" customFormat="1" ht="25.5">
      <c r="A28" s="36">
        <v>9</v>
      </c>
      <c r="B28" s="136" t="s">
        <v>38</v>
      </c>
      <c r="C28" s="36">
        <v>2020</v>
      </c>
      <c r="D28" s="36">
        <v>24</v>
      </c>
      <c r="E28" s="48">
        <v>0</v>
      </c>
      <c r="F28" s="49">
        <f>E28+D28</f>
        <v>24</v>
      </c>
      <c r="G28" s="35" t="s">
        <v>85</v>
      </c>
      <c r="H28" s="37">
        <v>0.65</v>
      </c>
      <c r="I28" s="50">
        <v>1.564</v>
      </c>
      <c r="J28" s="51">
        <f>LOG(1.44)</f>
        <v>0.15836249209524964</v>
      </c>
      <c r="K28" s="52">
        <v>3088</v>
      </c>
      <c r="L28" s="53"/>
    </row>
    <row r="29" spans="1:14" s="24" customFormat="1" ht="25.5">
      <c r="A29" s="36"/>
      <c r="B29" s="36"/>
      <c r="C29" s="36" t="s">
        <v>73</v>
      </c>
      <c r="D29" s="36">
        <v>577</v>
      </c>
      <c r="E29" s="48">
        <v>0</v>
      </c>
      <c r="F29" s="49">
        <f>E29+D29</f>
        <v>577</v>
      </c>
      <c r="G29" s="36" t="s">
        <v>86</v>
      </c>
      <c r="H29" s="37">
        <v>0.582</v>
      </c>
      <c r="I29" s="50">
        <v>1.602</v>
      </c>
      <c r="J29" s="51">
        <f>LOG(0.936)</f>
        <v>-0.028724151261894745</v>
      </c>
      <c r="K29" s="52"/>
      <c r="L29" s="53"/>
      <c r="N29" s="24" t="s">
        <v>56</v>
      </c>
    </row>
    <row r="30" spans="1:12" s="24" customFormat="1" ht="25.5">
      <c r="A30" s="36"/>
      <c r="B30" s="36"/>
      <c r="C30" s="36"/>
      <c r="D30" s="36"/>
      <c r="E30" s="48"/>
      <c r="F30" s="49"/>
      <c r="G30" s="36"/>
      <c r="H30" s="37"/>
      <c r="I30" s="50"/>
      <c r="J30" s="51"/>
      <c r="K30" s="52"/>
      <c r="L30" s="53"/>
    </row>
    <row r="31" spans="1:12" s="24" customFormat="1" ht="25.5">
      <c r="A31" s="36">
        <v>10</v>
      </c>
      <c r="B31" s="136" t="s">
        <v>39</v>
      </c>
      <c r="C31" s="36">
        <v>2020</v>
      </c>
      <c r="D31" s="36">
        <v>18</v>
      </c>
      <c r="E31" s="48">
        <v>0</v>
      </c>
      <c r="F31" s="49">
        <f>E31+D31</f>
        <v>18</v>
      </c>
      <c r="G31" s="35" t="s">
        <v>87</v>
      </c>
      <c r="H31" s="37">
        <v>0.927</v>
      </c>
      <c r="I31" s="50">
        <v>1.723</v>
      </c>
      <c r="J31" s="51">
        <f>LOG(0.633)</f>
        <v>-0.1985962899826449</v>
      </c>
      <c r="K31" s="52">
        <v>1544</v>
      </c>
      <c r="L31" s="56"/>
    </row>
    <row r="32" spans="1:12" s="24" customFormat="1" ht="25.5">
      <c r="A32" s="36"/>
      <c r="B32" s="36"/>
      <c r="C32" s="36" t="s">
        <v>73</v>
      </c>
      <c r="D32" s="36">
        <v>543</v>
      </c>
      <c r="E32" s="48">
        <v>0</v>
      </c>
      <c r="F32" s="49">
        <f>E32+D32</f>
        <v>543</v>
      </c>
      <c r="G32" s="36" t="s">
        <v>88</v>
      </c>
      <c r="H32" s="37">
        <v>0.858</v>
      </c>
      <c r="I32" s="50">
        <v>0.858</v>
      </c>
      <c r="J32" s="51">
        <f>LOG(2.236)</f>
        <v>0.3494717992143857</v>
      </c>
      <c r="K32" s="52"/>
      <c r="L32" s="56"/>
    </row>
    <row r="33" spans="1:12" s="24" customFormat="1" ht="25.5">
      <c r="A33" s="36"/>
      <c r="B33" s="36"/>
      <c r="C33" s="36"/>
      <c r="D33" s="36"/>
      <c r="E33" s="48"/>
      <c r="F33" s="49"/>
      <c r="G33" s="36"/>
      <c r="H33" s="37"/>
      <c r="I33" s="50"/>
      <c r="J33" s="51"/>
      <c r="K33" s="52"/>
      <c r="L33" s="56"/>
    </row>
    <row r="34" spans="1:12" s="24" customFormat="1" ht="25.5">
      <c r="A34" s="36">
        <v>11</v>
      </c>
      <c r="B34" s="137" t="s">
        <v>23</v>
      </c>
      <c r="C34" s="36">
        <v>2020</v>
      </c>
      <c r="D34" s="36">
        <v>17</v>
      </c>
      <c r="E34" s="48">
        <v>0</v>
      </c>
      <c r="F34" s="49">
        <f>E34+D34</f>
        <v>17</v>
      </c>
      <c r="G34" s="35" t="s">
        <v>90</v>
      </c>
      <c r="H34" s="37">
        <v>0.905</v>
      </c>
      <c r="I34" s="50">
        <v>1.648</v>
      </c>
      <c r="J34" s="51">
        <f>LOG(4.318)</f>
        <v>0.6352826379982119</v>
      </c>
      <c r="K34" s="52">
        <v>550</v>
      </c>
      <c r="L34" s="56"/>
    </row>
    <row r="35" spans="1:12" s="24" customFormat="1" ht="25.5">
      <c r="A35" s="36"/>
      <c r="B35" s="36"/>
      <c r="C35" s="36" t="s">
        <v>76</v>
      </c>
      <c r="D35" s="36">
        <v>527</v>
      </c>
      <c r="E35" s="48">
        <v>0</v>
      </c>
      <c r="F35" s="49">
        <f>E35+D35</f>
        <v>527</v>
      </c>
      <c r="G35" s="36" t="s">
        <v>91</v>
      </c>
      <c r="H35" s="37">
        <v>0.653</v>
      </c>
      <c r="I35" s="50">
        <v>1.213</v>
      </c>
      <c r="J35" s="51">
        <f>LOG(2.215)</f>
        <v>0.3453737305590883</v>
      </c>
      <c r="K35" s="52"/>
      <c r="L35" s="56"/>
    </row>
    <row r="36" spans="1:12" s="24" customFormat="1" ht="25.5">
      <c r="A36" s="36"/>
      <c r="B36" s="36"/>
      <c r="C36" s="36"/>
      <c r="D36" s="36"/>
      <c r="E36" s="48"/>
      <c r="F36" s="49"/>
      <c r="G36" s="36"/>
      <c r="H36" s="37"/>
      <c r="I36" s="50"/>
      <c r="J36" s="51"/>
      <c r="K36" s="52"/>
      <c r="L36" s="56"/>
    </row>
    <row r="37" spans="1:12" s="24" customFormat="1" ht="25.5">
      <c r="A37" s="36">
        <f>+A34+1</f>
        <v>12</v>
      </c>
      <c r="B37" s="136" t="s">
        <v>42</v>
      </c>
      <c r="C37" s="36">
        <v>2020</v>
      </c>
      <c r="D37" s="36">
        <v>12</v>
      </c>
      <c r="E37" s="48">
        <v>0</v>
      </c>
      <c r="F37" s="49">
        <f>E37+D37</f>
        <v>12</v>
      </c>
      <c r="G37" s="35" t="s">
        <v>92</v>
      </c>
      <c r="H37" s="37">
        <v>0.804</v>
      </c>
      <c r="I37" s="50">
        <v>1.234</v>
      </c>
      <c r="J37" s="51">
        <f>LOG(7.064)</f>
        <v>0.8490506905695122</v>
      </c>
      <c r="K37" s="52">
        <v>136</v>
      </c>
      <c r="L37" s="56"/>
    </row>
    <row r="38" spans="1:12" s="24" customFormat="1" ht="25.5">
      <c r="A38" s="80"/>
      <c r="B38" s="80"/>
      <c r="C38" s="80" t="s">
        <v>89</v>
      </c>
      <c r="D38" s="80">
        <v>426</v>
      </c>
      <c r="E38" s="81">
        <v>0</v>
      </c>
      <c r="F38" s="82">
        <f>E38+D38</f>
        <v>426</v>
      </c>
      <c r="G38" s="80" t="s">
        <v>93</v>
      </c>
      <c r="H38" s="83">
        <v>0.597</v>
      </c>
      <c r="I38" s="84">
        <v>1.503</v>
      </c>
      <c r="J38" s="54">
        <f>LOG(1.995)</f>
        <v>0.2999429000227671</v>
      </c>
      <c r="K38" s="85"/>
      <c r="L38" s="86"/>
    </row>
    <row r="39" spans="1:12" s="24" customFormat="1" ht="25.5">
      <c r="A39" s="36"/>
      <c r="B39" s="36"/>
      <c r="C39" s="36"/>
      <c r="D39" s="36"/>
      <c r="E39" s="48"/>
      <c r="F39" s="49"/>
      <c r="G39" s="36"/>
      <c r="H39" s="37"/>
      <c r="I39" s="50"/>
      <c r="J39" s="51"/>
      <c r="K39" s="52"/>
      <c r="L39" s="56"/>
    </row>
    <row r="40" spans="1:12" s="24" customFormat="1" ht="25.5">
      <c r="A40" s="87">
        <f>+A37+1</f>
        <v>13</v>
      </c>
      <c r="B40" s="138" t="s">
        <v>43</v>
      </c>
      <c r="C40" s="87">
        <v>2020</v>
      </c>
      <c r="D40" s="87">
        <v>20</v>
      </c>
      <c r="E40" s="88">
        <v>0</v>
      </c>
      <c r="F40" s="89">
        <f>E40+D40</f>
        <v>20</v>
      </c>
      <c r="G40" s="95" t="s">
        <v>94</v>
      </c>
      <c r="H40" s="90">
        <v>0.83</v>
      </c>
      <c r="I40" s="91">
        <v>1.646</v>
      </c>
      <c r="J40" s="92">
        <f>LOG(5.9)</f>
        <v>0.7708520116421442</v>
      </c>
      <c r="K40" s="93">
        <v>129</v>
      </c>
      <c r="L40" s="94"/>
    </row>
    <row r="41" spans="1:12" s="24" customFormat="1" ht="25.5">
      <c r="A41" s="36"/>
      <c r="B41" s="36"/>
      <c r="C41" s="36" t="s">
        <v>89</v>
      </c>
      <c r="D41" s="36">
        <v>438</v>
      </c>
      <c r="E41" s="48">
        <v>0</v>
      </c>
      <c r="F41" s="49">
        <f>E41+D41</f>
        <v>438</v>
      </c>
      <c r="G41" s="36" t="s">
        <v>95</v>
      </c>
      <c r="H41" s="37">
        <v>0.732</v>
      </c>
      <c r="I41" s="50">
        <v>1.514</v>
      </c>
      <c r="J41" s="51">
        <f>LOG(2.136)</f>
        <v>0.32960124835651883</v>
      </c>
      <c r="K41" s="52"/>
      <c r="L41" s="56"/>
    </row>
    <row r="42" spans="1:12" s="24" customFormat="1" ht="25.5">
      <c r="A42" s="36"/>
      <c r="B42" s="36"/>
      <c r="C42" s="36"/>
      <c r="D42" s="36"/>
      <c r="E42" s="48"/>
      <c r="F42" s="49"/>
      <c r="G42" s="36"/>
      <c r="H42" s="37"/>
      <c r="I42" s="50"/>
      <c r="J42" s="51"/>
      <c r="K42" s="52"/>
      <c r="L42" s="56"/>
    </row>
    <row r="43" spans="1:12" s="24" customFormat="1" ht="25.5">
      <c r="A43" s="36">
        <f>+A40+1</f>
        <v>14</v>
      </c>
      <c r="B43" s="136" t="s">
        <v>44</v>
      </c>
      <c r="C43" s="36">
        <v>2020</v>
      </c>
      <c r="D43" s="36">
        <v>24</v>
      </c>
      <c r="E43" s="48">
        <v>0</v>
      </c>
      <c r="F43" s="49">
        <f>E43+D43</f>
        <v>24</v>
      </c>
      <c r="G43" s="35" t="s">
        <v>96</v>
      </c>
      <c r="H43" s="37">
        <v>0.775</v>
      </c>
      <c r="I43" s="50">
        <v>2.399</v>
      </c>
      <c r="J43" s="51">
        <f>LOG(0.61)</f>
        <v>-0.21467016498923297</v>
      </c>
      <c r="K43" s="52">
        <v>389</v>
      </c>
      <c r="L43" s="56"/>
    </row>
    <row r="44" spans="1:12" s="24" customFormat="1" ht="25.5">
      <c r="A44" s="36"/>
      <c r="B44" s="36"/>
      <c r="C44" s="36" t="s">
        <v>89</v>
      </c>
      <c r="D44" s="36">
        <v>494</v>
      </c>
      <c r="E44" s="48">
        <v>0</v>
      </c>
      <c r="F44" s="49">
        <f>E44+D44</f>
        <v>494</v>
      </c>
      <c r="G44" s="36" t="s">
        <v>97</v>
      </c>
      <c r="H44" s="37">
        <v>0.583</v>
      </c>
      <c r="I44" s="50">
        <v>1.612</v>
      </c>
      <c r="J44" s="51">
        <f>LOG(1.493)</f>
        <v>0.17405980772502544</v>
      </c>
      <c r="K44" s="52"/>
      <c r="L44" s="56"/>
    </row>
    <row r="45" spans="1:12" s="24" customFormat="1" ht="25.5">
      <c r="A45" s="36"/>
      <c r="B45" s="36"/>
      <c r="C45" s="36"/>
      <c r="D45" s="36"/>
      <c r="E45" s="48"/>
      <c r="F45" s="49"/>
      <c r="G45" s="36"/>
      <c r="H45" s="37"/>
      <c r="I45" s="50"/>
      <c r="J45" s="51"/>
      <c r="K45" s="52"/>
      <c r="L45" s="56"/>
    </row>
    <row r="46" spans="1:12" s="24" customFormat="1" ht="25.5">
      <c r="A46" s="36">
        <f>+A43+1</f>
        <v>15</v>
      </c>
      <c r="B46" s="136" t="s">
        <v>45</v>
      </c>
      <c r="C46" s="36">
        <v>2020</v>
      </c>
      <c r="D46" s="36">
        <v>24</v>
      </c>
      <c r="E46" s="48">
        <v>0</v>
      </c>
      <c r="F46" s="49">
        <f>E46+D46</f>
        <v>24</v>
      </c>
      <c r="G46" s="35" t="s">
        <v>100</v>
      </c>
      <c r="H46" s="37">
        <v>0.905</v>
      </c>
      <c r="I46" s="50">
        <v>2.03</v>
      </c>
      <c r="J46" s="51">
        <f>LOG(1.628)</f>
        <v>0.2116544005531824</v>
      </c>
      <c r="K46" s="52">
        <v>491</v>
      </c>
      <c r="L46" s="56"/>
    </row>
    <row r="47" spans="1:12" s="24" customFormat="1" ht="25.5">
      <c r="A47" s="36"/>
      <c r="B47" s="36"/>
      <c r="C47" s="36" t="s">
        <v>98</v>
      </c>
      <c r="D47" s="36">
        <v>501</v>
      </c>
      <c r="E47" s="48">
        <v>0</v>
      </c>
      <c r="F47" s="49">
        <f>E47+D47</f>
        <v>501</v>
      </c>
      <c r="G47" s="36" t="s">
        <v>101</v>
      </c>
      <c r="H47" s="37">
        <v>0.569</v>
      </c>
      <c r="I47" s="50">
        <v>1.347</v>
      </c>
      <c r="J47" s="51">
        <f>LOG(3.04)</f>
        <v>0.48287358360875376</v>
      </c>
      <c r="K47" s="52"/>
      <c r="L47" s="56"/>
    </row>
    <row r="48" spans="1:12" s="24" customFormat="1" ht="25.5">
      <c r="A48" s="36"/>
      <c r="B48" s="36"/>
      <c r="C48" s="36"/>
      <c r="D48" s="36"/>
      <c r="E48" s="48"/>
      <c r="F48" s="49"/>
      <c r="G48" s="36"/>
      <c r="H48" s="37"/>
      <c r="I48" s="50"/>
      <c r="J48" s="51"/>
      <c r="K48" s="52"/>
      <c r="L48" s="56"/>
    </row>
    <row r="49" spans="1:12" s="24" customFormat="1" ht="25.5">
      <c r="A49" s="36">
        <v>16</v>
      </c>
      <c r="B49" s="136" t="s">
        <v>58</v>
      </c>
      <c r="C49" s="36">
        <v>2020</v>
      </c>
      <c r="D49" s="36">
        <v>27</v>
      </c>
      <c r="E49" s="48">
        <v>0</v>
      </c>
      <c r="F49" s="49">
        <f>E49+D49</f>
        <v>27</v>
      </c>
      <c r="G49" s="35" t="s">
        <v>102</v>
      </c>
      <c r="H49" s="37">
        <v>0.833</v>
      </c>
      <c r="I49" s="50">
        <v>2.348</v>
      </c>
      <c r="J49" s="51">
        <f>LOG(0.65)</f>
        <v>-0.18708664335714442</v>
      </c>
      <c r="K49" s="52">
        <v>1653</v>
      </c>
      <c r="L49" s="56"/>
    </row>
    <row r="50" spans="1:12" s="24" customFormat="1" ht="25.5">
      <c r="A50" s="36"/>
      <c r="B50" s="36"/>
      <c r="C50" s="36" t="s">
        <v>99</v>
      </c>
      <c r="D50" s="36">
        <v>226</v>
      </c>
      <c r="E50" s="48">
        <v>0</v>
      </c>
      <c r="F50" s="49">
        <f>E50+D50</f>
        <v>226</v>
      </c>
      <c r="G50" s="36" t="s">
        <v>103</v>
      </c>
      <c r="H50" s="37">
        <v>0.812</v>
      </c>
      <c r="I50" s="50">
        <v>2.12</v>
      </c>
      <c r="J50" s="51">
        <f>LOG(0.549)</f>
        <v>-0.26042765554990804</v>
      </c>
      <c r="K50" s="52"/>
      <c r="L50" s="56"/>
    </row>
    <row r="51" spans="1:12" s="24" customFormat="1" ht="25.5">
      <c r="A51" s="36"/>
      <c r="C51" s="36"/>
      <c r="D51" s="36"/>
      <c r="E51" s="48"/>
      <c r="F51" s="49"/>
      <c r="G51" s="36"/>
      <c r="H51" s="37"/>
      <c r="I51" s="50"/>
      <c r="J51" s="51"/>
      <c r="K51" s="52"/>
      <c r="L51" s="56"/>
    </row>
    <row r="52" spans="1:12" s="24" customFormat="1" ht="25.5">
      <c r="A52" s="36">
        <v>17</v>
      </c>
      <c r="B52" s="136" t="s">
        <v>59</v>
      </c>
      <c r="C52" s="36">
        <v>2020</v>
      </c>
      <c r="D52" s="36">
        <v>26</v>
      </c>
      <c r="E52" s="48">
        <v>0</v>
      </c>
      <c r="F52" s="49">
        <f aca="true" t="shared" si="1" ref="F52:F59">E52+D52</f>
        <v>26</v>
      </c>
      <c r="G52" s="132" t="s">
        <v>104</v>
      </c>
      <c r="H52" s="37">
        <v>0.818</v>
      </c>
      <c r="I52" s="50">
        <v>2.215</v>
      </c>
      <c r="J52" s="51">
        <f>LOG(0.345)</f>
        <v>-0.4621809049267259</v>
      </c>
      <c r="K52" s="52">
        <v>1723</v>
      </c>
      <c r="L52" s="56"/>
    </row>
    <row r="53" spans="1:12" s="24" customFormat="1" ht="25.5">
      <c r="A53" s="36"/>
      <c r="B53" s="36"/>
      <c r="C53" s="36" t="s">
        <v>82</v>
      </c>
      <c r="D53" s="36">
        <v>200</v>
      </c>
      <c r="E53" s="48">
        <v>0</v>
      </c>
      <c r="F53" s="49">
        <f t="shared" si="1"/>
        <v>200</v>
      </c>
      <c r="G53" s="36" t="s">
        <v>105</v>
      </c>
      <c r="H53" s="37">
        <v>0.749</v>
      </c>
      <c r="I53" s="50">
        <v>1.988</v>
      </c>
      <c r="J53" s="51">
        <f>LOG(0.557)</f>
        <v>-0.25414480482627105</v>
      </c>
      <c r="K53" s="52"/>
      <c r="L53" s="56"/>
    </row>
    <row r="54" spans="1:12" s="24" customFormat="1" ht="25.5">
      <c r="A54" s="36"/>
      <c r="B54" s="36"/>
      <c r="C54" s="36"/>
      <c r="D54" s="36"/>
      <c r="E54" s="48"/>
      <c r="F54" s="49"/>
      <c r="G54" s="36"/>
      <c r="H54" s="37"/>
      <c r="I54" s="50"/>
      <c r="J54" s="51"/>
      <c r="K54" s="52"/>
      <c r="L54" s="56"/>
    </row>
    <row r="55" spans="1:12" s="24" customFormat="1" ht="25.5">
      <c r="A55" s="36">
        <v>18</v>
      </c>
      <c r="B55" s="137" t="s">
        <v>46</v>
      </c>
      <c r="C55" s="96">
        <v>2020</v>
      </c>
      <c r="D55" s="36">
        <v>25</v>
      </c>
      <c r="E55" s="48">
        <v>0</v>
      </c>
      <c r="F55" s="49">
        <f t="shared" si="1"/>
        <v>25</v>
      </c>
      <c r="G55" s="35" t="s">
        <v>107</v>
      </c>
      <c r="H55" s="37">
        <v>0.718</v>
      </c>
      <c r="I55" s="50">
        <v>0.714</v>
      </c>
      <c r="J55" s="51">
        <f>LOG(0.514)</f>
        <v>-0.28903688100472424</v>
      </c>
      <c r="K55" s="52">
        <v>3478</v>
      </c>
      <c r="L55" s="56"/>
    </row>
    <row r="56" spans="1:12" s="24" customFormat="1" ht="25.5">
      <c r="A56" s="36"/>
      <c r="B56" s="36"/>
      <c r="C56" s="36" t="s">
        <v>106</v>
      </c>
      <c r="D56" s="36">
        <v>421</v>
      </c>
      <c r="E56" s="48">
        <v>0</v>
      </c>
      <c r="F56" s="49">
        <f t="shared" si="1"/>
        <v>421</v>
      </c>
      <c r="G56" s="97" t="s">
        <v>108</v>
      </c>
      <c r="H56" s="37">
        <v>0.837</v>
      </c>
      <c r="I56" s="50">
        <v>1.615</v>
      </c>
      <c r="J56" s="51">
        <f>LOG(0.819)</f>
        <v>-0.08671609823958155</v>
      </c>
      <c r="K56" s="52"/>
      <c r="L56" s="56"/>
    </row>
    <row r="57" spans="1:12" s="24" customFormat="1" ht="25.5">
      <c r="A57" s="36"/>
      <c r="B57" s="36"/>
      <c r="C57" s="36"/>
      <c r="D57" s="36"/>
      <c r="E57" s="48"/>
      <c r="F57" s="49"/>
      <c r="G57" s="36"/>
      <c r="H57" s="37"/>
      <c r="I57" s="50"/>
      <c r="J57" s="51"/>
      <c r="K57" s="52"/>
      <c r="L57" s="56"/>
    </row>
    <row r="58" spans="1:12" s="24" customFormat="1" ht="25.5">
      <c r="A58" s="36">
        <f>+A55+1</f>
        <v>19</v>
      </c>
      <c r="B58" s="137" t="s">
        <v>16</v>
      </c>
      <c r="C58" s="96">
        <v>2020</v>
      </c>
      <c r="D58" s="36">
        <v>22</v>
      </c>
      <c r="E58" s="48">
        <v>0</v>
      </c>
      <c r="F58" s="49">
        <f t="shared" si="1"/>
        <v>22</v>
      </c>
      <c r="G58" s="35" t="s">
        <v>109</v>
      </c>
      <c r="H58" s="37">
        <v>0.942</v>
      </c>
      <c r="I58" s="50">
        <v>1.497</v>
      </c>
      <c r="J58" s="51">
        <f>LOG(0.635)</f>
        <v>-0.1972262747080243</v>
      </c>
      <c r="K58" s="52">
        <v>8924</v>
      </c>
      <c r="L58" s="56"/>
    </row>
    <row r="59" spans="1:12" s="24" customFormat="1" ht="25.5">
      <c r="A59" s="36"/>
      <c r="B59" s="36"/>
      <c r="C59" s="36" t="s">
        <v>70</v>
      </c>
      <c r="D59" s="36">
        <v>419</v>
      </c>
      <c r="E59" s="48">
        <v>0</v>
      </c>
      <c r="F59" s="49">
        <f t="shared" si="1"/>
        <v>419</v>
      </c>
      <c r="G59" s="97" t="s">
        <v>110</v>
      </c>
      <c r="H59" s="37">
        <v>0.861</v>
      </c>
      <c r="I59" s="50">
        <v>1.641</v>
      </c>
      <c r="J59" s="51">
        <f>LOG(0.44)</f>
        <v>-0.3565473235138126</v>
      </c>
      <c r="K59" s="52"/>
      <c r="L59" s="56"/>
    </row>
    <row r="60" spans="1:12" s="24" customFormat="1" ht="25.5">
      <c r="A60" s="36"/>
      <c r="B60" s="36"/>
      <c r="C60" s="36"/>
      <c r="D60" s="36"/>
      <c r="E60" s="48"/>
      <c r="F60" s="49"/>
      <c r="G60" s="36"/>
      <c r="H60" s="37"/>
      <c r="I60" s="50"/>
      <c r="J60" s="51"/>
      <c r="K60" s="52"/>
      <c r="L60" s="56"/>
    </row>
    <row r="61" spans="1:12" s="24" customFormat="1" ht="25.5">
      <c r="A61" s="36">
        <f>+A58+1</f>
        <v>20</v>
      </c>
      <c r="B61" s="137" t="s">
        <v>24</v>
      </c>
      <c r="C61" s="36">
        <v>2020</v>
      </c>
      <c r="D61" s="36">
        <v>25</v>
      </c>
      <c r="E61" s="48">
        <v>0</v>
      </c>
      <c r="F61" s="49">
        <f>E61+D61</f>
        <v>25</v>
      </c>
      <c r="G61" s="35" t="s">
        <v>111</v>
      </c>
      <c r="H61" s="37">
        <v>0.807</v>
      </c>
      <c r="I61" s="50">
        <v>1.247</v>
      </c>
      <c r="J61" s="51">
        <f>LOG(1.435)</f>
        <v>0.15685190107001115</v>
      </c>
      <c r="K61" s="52">
        <v>1392</v>
      </c>
      <c r="L61" s="56"/>
    </row>
    <row r="62" spans="1:12" s="24" customFormat="1" ht="25.5">
      <c r="A62" s="36"/>
      <c r="B62" s="36"/>
      <c r="C62" s="36" t="s">
        <v>76</v>
      </c>
      <c r="D62" s="36">
        <v>559</v>
      </c>
      <c r="E62" s="48">
        <v>0</v>
      </c>
      <c r="F62" s="49">
        <f>E62+D62</f>
        <v>559</v>
      </c>
      <c r="G62" s="36" t="s">
        <v>112</v>
      </c>
      <c r="H62" s="37">
        <v>0.589</v>
      </c>
      <c r="I62" s="50">
        <v>1.287</v>
      </c>
      <c r="J62" s="51">
        <f>LOG(1.425)</f>
        <v>0.153814864344529</v>
      </c>
      <c r="K62" s="52"/>
      <c r="L62" s="56"/>
    </row>
    <row r="63" spans="1:12" s="24" customFormat="1" ht="25.5">
      <c r="A63" s="36"/>
      <c r="B63" s="36"/>
      <c r="C63" s="36"/>
      <c r="D63" s="36"/>
      <c r="E63" s="48"/>
      <c r="F63" s="49"/>
      <c r="G63" s="36"/>
      <c r="H63" s="37"/>
      <c r="I63" s="50"/>
      <c r="J63" s="51"/>
      <c r="K63" s="52"/>
      <c r="L63" s="56"/>
    </row>
    <row r="64" spans="1:12" s="24" customFormat="1" ht="25.5">
      <c r="A64" s="36">
        <v>21</v>
      </c>
      <c r="B64" s="136" t="s">
        <v>17</v>
      </c>
      <c r="C64" s="36">
        <v>2020</v>
      </c>
      <c r="D64" s="36">
        <v>28</v>
      </c>
      <c r="E64" s="48">
        <v>0</v>
      </c>
      <c r="F64" s="49">
        <f>E64+D64</f>
        <v>28</v>
      </c>
      <c r="G64" s="35" t="s">
        <v>114</v>
      </c>
      <c r="H64" s="37">
        <v>0.882</v>
      </c>
      <c r="I64" s="50">
        <v>1.696</v>
      </c>
      <c r="J64" s="51">
        <f>LOG(1.253)</f>
        <v>0.09795107099414996</v>
      </c>
      <c r="K64" s="52">
        <v>726</v>
      </c>
      <c r="L64" s="56"/>
    </row>
    <row r="65" spans="1:12" s="24" customFormat="1" ht="25.5">
      <c r="A65" s="36"/>
      <c r="B65" s="36"/>
      <c r="C65" s="36" t="s">
        <v>113</v>
      </c>
      <c r="D65" s="36">
        <v>692</v>
      </c>
      <c r="E65" s="48">
        <v>0</v>
      </c>
      <c r="F65" s="49">
        <f>E65+D65</f>
        <v>692</v>
      </c>
      <c r="G65" s="97" t="s">
        <v>115</v>
      </c>
      <c r="H65" s="130">
        <v>0.843</v>
      </c>
      <c r="I65" s="131">
        <v>1.571</v>
      </c>
      <c r="J65" s="51">
        <f>LOG(2.231)</f>
        <v>0.3484995702838377</v>
      </c>
      <c r="K65" s="52"/>
      <c r="L65" s="56"/>
    </row>
    <row r="66" spans="1:12" s="24" customFormat="1" ht="25.5">
      <c r="A66" s="36"/>
      <c r="B66" s="36"/>
      <c r="C66" s="36"/>
      <c r="D66" s="36"/>
      <c r="E66" s="48"/>
      <c r="F66" s="49"/>
      <c r="G66" s="36"/>
      <c r="H66" s="37"/>
      <c r="I66" s="50"/>
      <c r="J66" s="51"/>
      <c r="K66" s="52"/>
      <c r="L66" s="56"/>
    </row>
    <row r="67" spans="1:12" s="24" customFormat="1" ht="25.5">
      <c r="A67" s="57">
        <v>22</v>
      </c>
      <c r="B67" s="137" t="s">
        <v>53</v>
      </c>
      <c r="C67" s="36">
        <v>2020</v>
      </c>
      <c r="D67" s="36">
        <v>23</v>
      </c>
      <c r="E67" s="48">
        <v>0</v>
      </c>
      <c r="F67" s="49">
        <f>E67+D67</f>
        <v>23</v>
      </c>
      <c r="G67" s="35" t="s">
        <v>117</v>
      </c>
      <c r="H67" s="37">
        <v>0.944</v>
      </c>
      <c r="I67" s="50">
        <v>1.584</v>
      </c>
      <c r="J67" s="51">
        <f>LOG(6.197)</f>
        <v>0.7921814961496788</v>
      </c>
      <c r="K67" s="52">
        <v>762</v>
      </c>
      <c r="L67" s="53"/>
    </row>
    <row r="68" spans="1:12" s="24" customFormat="1" ht="25.5">
      <c r="A68" s="57"/>
      <c r="B68" s="36"/>
      <c r="C68" s="36" t="s">
        <v>116</v>
      </c>
      <c r="D68" s="36">
        <v>344</v>
      </c>
      <c r="E68" s="48">
        <v>0</v>
      </c>
      <c r="F68" s="49">
        <f>E68+D68</f>
        <v>344</v>
      </c>
      <c r="G68" s="36" t="s">
        <v>118</v>
      </c>
      <c r="H68" s="37">
        <v>0.9</v>
      </c>
      <c r="I68" s="50">
        <v>1.44</v>
      </c>
      <c r="J68" s="51">
        <f>LOG(3.895)</f>
        <v>0.5905074620085833</v>
      </c>
      <c r="K68" s="52"/>
      <c r="L68" s="53"/>
    </row>
    <row r="69" spans="1:12" s="24" customFormat="1" ht="25.5">
      <c r="A69" s="57"/>
      <c r="B69" s="36"/>
      <c r="C69" s="36"/>
      <c r="D69" s="36"/>
      <c r="E69" s="48"/>
      <c r="F69" s="49"/>
      <c r="G69" s="36"/>
      <c r="H69" s="37"/>
      <c r="I69" s="50"/>
      <c r="J69" s="51"/>
      <c r="K69" s="52"/>
      <c r="L69" s="53"/>
    </row>
    <row r="70" spans="1:12" s="28" customFormat="1" ht="22.5" customHeight="1">
      <c r="A70" s="57">
        <v>23</v>
      </c>
      <c r="B70" s="136" t="s">
        <v>18</v>
      </c>
      <c r="C70" s="36">
        <v>2020</v>
      </c>
      <c r="D70" s="36">
        <v>39</v>
      </c>
      <c r="E70" s="48">
        <v>0</v>
      </c>
      <c r="F70" s="49">
        <f aca="true" t="shared" si="2" ref="F70:F80">E70+D70</f>
        <v>39</v>
      </c>
      <c r="G70" s="35" t="s">
        <v>120</v>
      </c>
      <c r="H70" s="37">
        <v>0.947</v>
      </c>
      <c r="I70" s="50">
        <v>1.541</v>
      </c>
      <c r="J70" s="51">
        <f>LOG(1.751)</f>
        <v>0.24328614608344612</v>
      </c>
      <c r="K70" s="52">
        <v>7749</v>
      </c>
      <c r="L70" s="53"/>
    </row>
    <row r="71" spans="1:12" s="28" customFormat="1" ht="22.5" customHeight="1">
      <c r="A71" s="57"/>
      <c r="B71" s="36"/>
      <c r="C71" s="36" t="s">
        <v>119</v>
      </c>
      <c r="D71" s="36">
        <v>736</v>
      </c>
      <c r="E71" s="48">
        <v>0</v>
      </c>
      <c r="F71" s="49">
        <f t="shared" si="2"/>
        <v>736</v>
      </c>
      <c r="G71" s="36" t="s">
        <v>121</v>
      </c>
      <c r="H71" s="37">
        <v>0.924</v>
      </c>
      <c r="I71" s="50">
        <v>1.506</v>
      </c>
      <c r="J71" s="51">
        <f>LOG(1.597)</f>
        <v>0.20330491613848292</v>
      </c>
      <c r="K71" s="52"/>
      <c r="L71" s="63"/>
    </row>
    <row r="72" spans="1:12" s="28" customFormat="1" ht="22.5" customHeight="1">
      <c r="A72" s="64"/>
      <c r="B72" s="36"/>
      <c r="C72" s="36"/>
      <c r="D72" s="36"/>
      <c r="E72" s="48"/>
      <c r="F72" s="49"/>
      <c r="G72" s="36"/>
      <c r="H72" s="37"/>
      <c r="I72" s="50"/>
      <c r="J72" s="51"/>
      <c r="K72" s="52"/>
      <c r="L72" s="63"/>
    </row>
    <row r="73" spans="1:12" s="28" customFormat="1" ht="22.5" customHeight="1">
      <c r="A73" s="57">
        <v>24</v>
      </c>
      <c r="B73" s="139" t="s">
        <v>47</v>
      </c>
      <c r="C73" s="57">
        <v>2020</v>
      </c>
      <c r="D73" s="57">
        <v>35</v>
      </c>
      <c r="E73" s="58">
        <v>0</v>
      </c>
      <c r="F73" s="49">
        <f t="shared" si="2"/>
        <v>35</v>
      </c>
      <c r="G73" s="38" t="s">
        <v>123</v>
      </c>
      <c r="H73" s="59">
        <v>0.928</v>
      </c>
      <c r="I73" s="60">
        <v>1.618</v>
      </c>
      <c r="J73" s="61">
        <f>LOG(1.634)</f>
        <v>0.21325205219639665</v>
      </c>
      <c r="K73" s="62">
        <v>5394</v>
      </c>
      <c r="L73" s="63"/>
    </row>
    <row r="74" spans="1:12" s="28" customFormat="1" ht="22.5" customHeight="1">
      <c r="A74" s="57"/>
      <c r="B74" s="57"/>
      <c r="C74" s="57" t="s">
        <v>122</v>
      </c>
      <c r="D74" s="57">
        <v>463</v>
      </c>
      <c r="E74" s="58">
        <v>0</v>
      </c>
      <c r="F74" s="49">
        <f t="shared" si="2"/>
        <v>463</v>
      </c>
      <c r="G74" s="57" t="s">
        <v>124</v>
      </c>
      <c r="H74" s="59">
        <v>0.862</v>
      </c>
      <c r="I74" s="60">
        <v>1.704</v>
      </c>
      <c r="J74" s="61">
        <f>LOG(0.814)</f>
        <v>-0.0893755951107988</v>
      </c>
      <c r="K74" s="62"/>
      <c r="L74" s="63"/>
    </row>
    <row r="75" spans="1:12" s="28" customFormat="1" ht="22.5" customHeight="1">
      <c r="A75" s="57"/>
      <c r="B75" s="57"/>
      <c r="C75" s="57"/>
      <c r="D75" s="57"/>
      <c r="E75" s="58"/>
      <c r="F75" s="49"/>
      <c r="G75" s="57"/>
      <c r="H75" s="59"/>
      <c r="I75" s="60"/>
      <c r="J75" s="61"/>
      <c r="K75" s="62"/>
      <c r="L75" s="133"/>
    </row>
    <row r="76" spans="1:12" s="28" customFormat="1" ht="22.5" customHeight="1">
      <c r="A76" s="57">
        <v>25</v>
      </c>
      <c r="B76" s="139" t="s">
        <v>60</v>
      </c>
      <c r="C76" s="57">
        <v>2020</v>
      </c>
      <c r="D76" s="57">
        <v>22</v>
      </c>
      <c r="E76" s="58">
        <v>0</v>
      </c>
      <c r="F76" s="49">
        <f t="shared" si="2"/>
        <v>22</v>
      </c>
      <c r="G76" s="38" t="s">
        <v>126</v>
      </c>
      <c r="H76" s="59">
        <v>0.648</v>
      </c>
      <c r="I76" s="60">
        <v>1.643</v>
      </c>
      <c r="J76" s="61">
        <f>LOG(3.681)</f>
        <v>0.5659658174466666</v>
      </c>
      <c r="K76" s="62">
        <v>590</v>
      </c>
      <c r="L76" s="133"/>
    </row>
    <row r="77" spans="1:12" s="28" customFormat="1" ht="22.5" customHeight="1">
      <c r="A77" s="57"/>
      <c r="B77" s="57"/>
      <c r="C77" s="57" t="s">
        <v>125</v>
      </c>
      <c r="D77" s="57">
        <v>118</v>
      </c>
      <c r="E77" s="58">
        <v>0</v>
      </c>
      <c r="F77" s="49">
        <f t="shared" si="2"/>
        <v>118</v>
      </c>
      <c r="G77" s="57" t="s">
        <v>127</v>
      </c>
      <c r="H77" s="59">
        <v>0.858</v>
      </c>
      <c r="I77" s="60">
        <v>1.626</v>
      </c>
      <c r="J77" s="61">
        <f>LOG(3.476)</f>
        <v>0.5410797677766288</v>
      </c>
      <c r="K77" s="62"/>
      <c r="L77" s="133"/>
    </row>
    <row r="78" spans="1:12" s="28" customFormat="1" ht="22.5" customHeight="1">
      <c r="A78" s="57"/>
      <c r="B78" s="57"/>
      <c r="C78" s="57"/>
      <c r="D78" s="57"/>
      <c r="E78" s="58"/>
      <c r="F78" s="49"/>
      <c r="G78" s="57"/>
      <c r="H78" s="59"/>
      <c r="I78" s="60"/>
      <c r="J78" s="61"/>
      <c r="K78" s="62"/>
      <c r="L78" s="63"/>
    </row>
    <row r="79" spans="1:12" s="28" customFormat="1" ht="22.5" customHeight="1">
      <c r="A79" s="57">
        <v>26</v>
      </c>
      <c r="B79" s="139" t="s">
        <v>48</v>
      </c>
      <c r="C79" s="57">
        <v>2020</v>
      </c>
      <c r="D79" s="57">
        <v>26</v>
      </c>
      <c r="E79" s="58">
        <v>0</v>
      </c>
      <c r="F79" s="49">
        <f t="shared" si="2"/>
        <v>26</v>
      </c>
      <c r="G79" s="38" t="s">
        <v>128</v>
      </c>
      <c r="H79" s="59">
        <v>0.934</v>
      </c>
      <c r="I79" s="60">
        <v>1.581</v>
      </c>
      <c r="J79" s="61">
        <f>LOG(0.805)</f>
        <v>-0.09420411963213146</v>
      </c>
      <c r="K79" s="62">
        <v>10305</v>
      </c>
      <c r="L79" s="71"/>
    </row>
    <row r="80" spans="1:12" s="28" customFormat="1" ht="22.5" customHeight="1">
      <c r="A80" s="72"/>
      <c r="B80" s="57"/>
      <c r="C80" s="57" t="s">
        <v>70</v>
      </c>
      <c r="D80" s="57">
        <v>426</v>
      </c>
      <c r="E80" s="58">
        <v>0</v>
      </c>
      <c r="F80" s="49">
        <f t="shared" si="2"/>
        <v>426</v>
      </c>
      <c r="G80" s="57" t="s">
        <v>129</v>
      </c>
      <c r="H80" s="59">
        <v>0.851</v>
      </c>
      <c r="I80" s="60">
        <v>1.574</v>
      </c>
      <c r="J80" s="61">
        <f>LOG(0.753)</f>
        <v>-0.12320502379929942</v>
      </c>
      <c r="K80" s="62"/>
      <c r="L80" s="63"/>
    </row>
    <row r="81" spans="1:12" s="28" customFormat="1" ht="22.5" customHeight="1">
      <c r="A81" s="57"/>
      <c r="B81" s="64"/>
      <c r="C81" s="64"/>
      <c r="D81" s="64"/>
      <c r="E81" s="65"/>
      <c r="F81" s="66"/>
      <c r="G81" s="64"/>
      <c r="H81" s="67"/>
      <c r="I81" s="68"/>
      <c r="J81" s="69"/>
      <c r="K81" s="70"/>
      <c r="L81" s="63"/>
    </row>
    <row r="82" spans="1:12" s="28" customFormat="1" ht="22.5" customHeight="1">
      <c r="A82" s="72">
        <v>27</v>
      </c>
      <c r="B82" s="139" t="s">
        <v>61</v>
      </c>
      <c r="C82" s="57">
        <v>2020</v>
      </c>
      <c r="D82" s="57">
        <v>16</v>
      </c>
      <c r="E82" s="58">
        <v>0</v>
      </c>
      <c r="F82" s="49">
        <f aca="true" t="shared" si="3" ref="F82:F110">E82+D82</f>
        <v>16</v>
      </c>
      <c r="G82" s="38" t="s">
        <v>131</v>
      </c>
      <c r="H82" s="59">
        <v>0.784</v>
      </c>
      <c r="I82" s="60">
        <v>1.609</v>
      </c>
      <c r="J82" s="61">
        <f>LOG(2.007)</f>
        <v>0.3025473724874856</v>
      </c>
      <c r="K82" s="62">
        <v>124</v>
      </c>
      <c r="L82" s="71"/>
    </row>
    <row r="83" spans="1:12" s="28" customFormat="1" ht="22.5" customHeight="1">
      <c r="A83" s="72"/>
      <c r="B83" s="57"/>
      <c r="C83" s="57" t="s">
        <v>130</v>
      </c>
      <c r="D83" s="57">
        <v>61</v>
      </c>
      <c r="E83" s="58">
        <v>0</v>
      </c>
      <c r="F83" s="49">
        <f t="shared" si="3"/>
        <v>61</v>
      </c>
      <c r="G83" s="57" t="s">
        <v>132</v>
      </c>
      <c r="H83" s="59">
        <v>0.849</v>
      </c>
      <c r="I83" s="60">
        <v>1.58</v>
      </c>
      <c r="J83" s="61">
        <f>LOG(2.024)</f>
        <v>0.3062105081677615</v>
      </c>
      <c r="K83" s="62"/>
      <c r="L83" s="63"/>
    </row>
    <row r="84" spans="1:12" s="28" customFormat="1" ht="22.5" customHeight="1">
      <c r="A84" s="57"/>
      <c r="B84" s="64"/>
      <c r="C84" s="64"/>
      <c r="D84" s="64"/>
      <c r="E84" s="65"/>
      <c r="F84" s="49"/>
      <c r="G84" s="64"/>
      <c r="H84" s="67"/>
      <c r="I84" s="68"/>
      <c r="J84" s="69"/>
      <c r="K84" s="70"/>
      <c r="L84" s="63"/>
    </row>
    <row r="85" spans="1:12" s="28" customFormat="1" ht="22.5" customHeight="1">
      <c r="A85" s="57">
        <v>28</v>
      </c>
      <c r="B85" s="139" t="s">
        <v>49</v>
      </c>
      <c r="C85" s="57">
        <v>2020</v>
      </c>
      <c r="D85" s="57">
        <v>31</v>
      </c>
      <c r="E85" s="58">
        <v>0</v>
      </c>
      <c r="F85" s="49">
        <f t="shared" si="3"/>
        <v>31</v>
      </c>
      <c r="G85" s="38" t="s">
        <v>133</v>
      </c>
      <c r="H85" s="59">
        <v>0.824</v>
      </c>
      <c r="I85" s="60">
        <v>1.71</v>
      </c>
      <c r="J85" s="61">
        <f>LOG(0.672)</f>
        <v>-0.17263072694617473</v>
      </c>
      <c r="K85" s="62">
        <v>4560</v>
      </c>
      <c r="L85" s="78"/>
    </row>
    <row r="86" spans="1:12" s="28" customFormat="1" ht="22.5" customHeight="1">
      <c r="A86" s="57"/>
      <c r="B86" s="57"/>
      <c r="C86" s="57" t="s">
        <v>135</v>
      </c>
      <c r="D86" s="57">
        <v>461</v>
      </c>
      <c r="E86" s="58">
        <v>0</v>
      </c>
      <c r="F86" s="82">
        <f t="shared" si="3"/>
        <v>461</v>
      </c>
      <c r="G86" s="142" t="s">
        <v>134</v>
      </c>
      <c r="H86" s="104">
        <v>0.835</v>
      </c>
      <c r="I86" s="105">
        <v>1.859</v>
      </c>
      <c r="J86" s="106">
        <f>LOG(0.212)</f>
        <v>-0.6736641390712486</v>
      </c>
      <c r="K86" s="70"/>
      <c r="L86" s="78"/>
    </row>
    <row r="87" spans="1:12" s="28" customFormat="1" ht="22.5" customHeight="1">
      <c r="A87" s="72"/>
      <c r="B87" s="57"/>
      <c r="C87" s="57"/>
      <c r="D87" s="57"/>
      <c r="E87" s="58"/>
      <c r="F87" s="49"/>
      <c r="G87" s="57"/>
      <c r="H87" s="59"/>
      <c r="I87" s="60"/>
      <c r="J87" s="61"/>
      <c r="K87" s="62"/>
      <c r="L87" s="63"/>
    </row>
    <row r="88" spans="1:12" s="28" customFormat="1" ht="22.5" customHeight="1">
      <c r="A88" s="57">
        <v>29</v>
      </c>
      <c r="B88" s="140" t="s">
        <v>50</v>
      </c>
      <c r="C88" s="72">
        <v>2020</v>
      </c>
      <c r="D88" s="72">
        <v>32</v>
      </c>
      <c r="E88" s="73">
        <v>0</v>
      </c>
      <c r="F88" s="89">
        <f t="shared" si="3"/>
        <v>32</v>
      </c>
      <c r="G88" s="39" t="s">
        <v>136</v>
      </c>
      <c r="H88" s="74">
        <v>0.822</v>
      </c>
      <c r="I88" s="75">
        <v>1.595</v>
      </c>
      <c r="J88" s="76">
        <f>LOG(1.415)</f>
        <v>0.15075643986030904</v>
      </c>
      <c r="K88" s="77">
        <v>3476</v>
      </c>
      <c r="L88" s="63"/>
    </row>
    <row r="89" spans="1:12" s="28" customFormat="1" ht="22.5" customHeight="1">
      <c r="A89" s="57"/>
      <c r="B89" s="72"/>
      <c r="C89" s="72" t="s">
        <v>70</v>
      </c>
      <c r="D89" s="72">
        <v>449</v>
      </c>
      <c r="E89" s="73">
        <v>0</v>
      </c>
      <c r="F89" s="49">
        <f t="shared" si="3"/>
        <v>449</v>
      </c>
      <c r="G89" s="99" t="s">
        <v>137</v>
      </c>
      <c r="H89" s="74">
        <v>0.81</v>
      </c>
      <c r="I89" s="75">
        <v>1.834</v>
      </c>
      <c r="J89" s="76">
        <f>LOG(0.315)</f>
        <v>-0.5016894462103995</v>
      </c>
      <c r="K89" s="77"/>
      <c r="L89" s="63"/>
    </row>
    <row r="90" spans="1:12" s="28" customFormat="1" ht="22.5" customHeight="1">
      <c r="A90" s="57"/>
      <c r="B90" s="57"/>
      <c r="C90" s="57"/>
      <c r="D90" s="57"/>
      <c r="E90" s="58"/>
      <c r="F90" s="49"/>
      <c r="G90" s="57"/>
      <c r="H90" s="59"/>
      <c r="I90" s="60"/>
      <c r="J90" s="61"/>
      <c r="K90" s="62"/>
      <c r="L90" s="63"/>
    </row>
    <row r="91" spans="1:12" s="28" customFormat="1" ht="22.5" customHeight="1">
      <c r="A91" s="57">
        <v>30</v>
      </c>
      <c r="B91" s="139" t="s">
        <v>54</v>
      </c>
      <c r="C91" s="57">
        <v>2020</v>
      </c>
      <c r="D91" s="57">
        <v>27</v>
      </c>
      <c r="E91" s="58">
        <v>0</v>
      </c>
      <c r="F91" s="49">
        <f t="shared" si="3"/>
        <v>27</v>
      </c>
      <c r="G91" s="38" t="s">
        <v>138</v>
      </c>
      <c r="H91" s="59">
        <v>0.822</v>
      </c>
      <c r="I91" s="60">
        <v>1.629</v>
      </c>
      <c r="J91" s="61">
        <f>LOG(1.995)</f>
        <v>0.2999429000227671</v>
      </c>
      <c r="K91" s="62">
        <v>620.7</v>
      </c>
      <c r="L91" s="63"/>
    </row>
    <row r="92" spans="1:12" s="28" customFormat="1" ht="22.5" customHeight="1">
      <c r="A92" s="57"/>
      <c r="B92" s="57"/>
      <c r="C92" s="57" t="s">
        <v>125</v>
      </c>
      <c r="D92" s="57">
        <v>409</v>
      </c>
      <c r="E92" s="58">
        <v>0</v>
      </c>
      <c r="F92" s="49">
        <f t="shared" si="3"/>
        <v>409</v>
      </c>
      <c r="G92" s="57" t="s">
        <v>139</v>
      </c>
      <c r="H92" s="59">
        <v>0.737</v>
      </c>
      <c r="I92" s="60">
        <v>1.676</v>
      </c>
      <c r="J92" s="61">
        <f>LOG(0.685)</f>
        <v>-0.1643094285075744</v>
      </c>
      <c r="K92" s="62"/>
      <c r="L92" s="63"/>
    </row>
    <row r="93" spans="1:12" s="28" customFormat="1" ht="22.5" customHeight="1">
      <c r="A93" s="57"/>
      <c r="B93" s="57"/>
      <c r="C93" s="57"/>
      <c r="D93" s="57"/>
      <c r="E93" s="58"/>
      <c r="F93" s="49"/>
      <c r="G93" s="57"/>
      <c r="H93" s="59"/>
      <c r="I93" s="60"/>
      <c r="J93" s="61"/>
      <c r="K93" s="62"/>
      <c r="L93" s="63"/>
    </row>
    <row r="94" spans="1:12" s="28" customFormat="1" ht="22.5" customHeight="1">
      <c r="A94" s="57">
        <v>31</v>
      </c>
      <c r="B94" s="139" t="s">
        <v>62</v>
      </c>
      <c r="C94" s="57">
        <v>2020</v>
      </c>
      <c r="D94" s="57">
        <v>31</v>
      </c>
      <c r="E94" s="58">
        <v>0</v>
      </c>
      <c r="F94" s="49">
        <f t="shared" si="3"/>
        <v>31</v>
      </c>
      <c r="G94" s="38" t="s">
        <v>140</v>
      </c>
      <c r="H94" s="59">
        <v>0.868</v>
      </c>
      <c r="I94" s="60">
        <v>1.9</v>
      </c>
      <c r="J94" s="61">
        <f>LOG(0.335)</f>
        <v>-0.47495519296315475</v>
      </c>
      <c r="K94" s="62">
        <v>2170</v>
      </c>
      <c r="L94" s="63"/>
    </row>
    <row r="95" spans="1:12" s="28" customFormat="1" ht="22.5" customHeight="1">
      <c r="A95" s="57"/>
      <c r="B95" s="57"/>
      <c r="C95" s="57" t="s">
        <v>130</v>
      </c>
      <c r="D95" s="57">
        <v>89</v>
      </c>
      <c r="E95" s="58">
        <v>0</v>
      </c>
      <c r="F95" s="49">
        <f t="shared" si="3"/>
        <v>89</v>
      </c>
      <c r="G95" s="57" t="s">
        <v>141</v>
      </c>
      <c r="H95" s="59">
        <v>0.855</v>
      </c>
      <c r="I95" s="60">
        <v>1.774</v>
      </c>
      <c r="J95" s="61">
        <f>LOG(0.452)</f>
        <v>-0.3448615651886179</v>
      </c>
      <c r="K95" s="62"/>
      <c r="L95" s="63"/>
    </row>
    <row r="96" spans="1:12" s="28" customFormat="1" ht="22.5" customHeight="1">
      <c r="A96" s="57"/>
      <c r="B96" s="57"/>
      <c r="C96" s="57"/>
      <c r="D96" s="57"/>
      <c r="E96" s="58"/>
      <c r="F96" s="49"/>
      <c r="G96" s="57"/>
      <c r="H96" s="59"/>
      <c r="I96" s="60"/>
      <c r="J96" s="61"/>
      <c r="K96" s="62"/>
      <c r="L96" s="63"/>
    </row>
    <row r="97" spans="1:12" s="28" customFormat="1" ht="22.5" customHeight="1" hidden="1">
      <c r="A97" s="57"/>
      <c r="B97" s="57"/>
      <c r="C97" s="57"/>
      <c r="D97" s="57"/>
      <c r="E97" s="58"/>
      <c r="F97" s="49">
        <f t="shared" si="3"/>
        <v>0</v>
      </c>
      <c r="G97" s="57"/>
      <c r="H97" s="59"/>
      <c r="I97" s="60"/>
      <c r="J97" s="61"/>
      <c r="K97" s="62"/>
      <c r="L97" s="63"/>
    </row>
    <row r="98" spans="1:12" s="28" customFormat="1" ht="22.5" customHeight="1">
      <c r="A98" s="141">
        <v>32</v>
      </c>
      <c r="B98" s="139" t="s">
        <v>27</v>
      </c>
      <c r="C98" s="57">
        <v>2020</v>
      </c>
      <c r="D98" s="57">
        <v>34</v>
      </c>
      <c r="E98" s="58">
        <v>0</v>
      </c>
      <c r="F98" s="49">
        <f t="shared" si="3"/>
        <v>34</v>
      </c>
      <c r="G98" s="38" t="s">
        <v>142</v>
      </c>
      <c r="H98" s="59">
        <v>0.868</v>
      </c>
      <c r="I98" s="60">
        <v>1.568</v>
      </c>
      <c r="J98" s="61">
        <f>LOG(2.228)</f>
        <v>0.34791518650169134</v>
      </c>
      <c r="K98" s="62">
        <v>2909</v>
      </c>
      <c r="L98" s="63"/>
    </row>
    <row r="99" spans="1:12" s="28" customFormat="1" ht="22.5" customHeight="1">
      <c r="A99" s="141"/>
      <c r="B99" s="57"/>
      <c r="C99" s="57" t="s">
        <v>119</v>
      </c>
      <c r="D99" s="57">
        <v>712</v>
      </c>
      <c r="E99" s="58">
        <v>0</v>
      </c>
      <c r="F99" s="49">
        <f t="shared" si="3"/>
        <v>712</v>
      </c>
      <c r="G99" s="98" t="s">
        <v>143</v>
      </c>
      <c r="H99" s="59">
        <v>0.855</v>
      </c>
      <c r="I99" s="60">
        <v>1.774</v>
      </c>
      <c r="J99" s="61">
        <f>LOG(0.452)</f>
        <v>-0.3448615651886179</v>
      </c>
      <c r="K99" s="62"/>
      <c r="L99" s="63"/>
    </row>
    <row r="100" spans="1:12" s="28" customFormat="1" ht="22.5" customHeight="1">
      <c r="A100" s="141"/>
      <c r="B100" s="57"/>
      <c r="C100" s="57"/>
      <c r="D100" s="57"/>
      <c r="E100" s="58"/>
      <c r="F100" s="49"/>
      <c r="G100" s="98"/>
      <c r="H100" s="59"/>
      <c r="I100" s="60"/>
      <c r="J100" s="61"/>
      <c r="K100" s="62"/>
      <c r="L100" s="63"/>
    </row>
    <row r="101" spans="1:12" s="28" customFormat="1" ht="22.5" customHeight="1">
      <c r="A101" s="141">
        <v>33</v>
      </c>
      <c r="B101" s="139" t="s">
        <v>51</v>
      </c>
      <c r="C101" s="57">
        <v>2020</v>
      </c>
      <c r="D101" s="57">
        <v>25</v>
      </c>
      <c r="E101" s="58">
        <v>0</v>
      </c>
      <c r="F101" s="49">
        <f t="shared" si="3"/>
        <v>25</v>
      </c>
      <c r="G101" s="38" t="s">
        <v>144</v>
      </c>
      <c r="H101" s="59">
        <v>0.754</v>
      </c>
      <c r="I101" s="60">
        <v>2.419</v>
      </c>
      <c r="J101" s="61">
        <f>LOG(0.446)</f>
        <v>-0.35066514128785814</v>
      </c>
      <c r="K101" s="62">
        <v>386</v>
      </c>
      <c r="L101" s="63"/>
    </row>
    <row r="102" spans="1:12" s="28" customFormat="1" ht="22.5" customHeight="1">
      <c r="A102" s="141"/>
      <c r="B102" s="57"/>
      <c r="C102" s="57" t="s">
        <v>89</v>
      </c>
      <c r="D102" s="57">
        <v>444</v>
      </c>
      <c r="E102" s="58">
        <v>0</v>
      </c>
      <c r="F102" s="49">
        <f t="shared" si="3"/>
        <v>444</v>
      </c>
      <c r="G102" s="98" t="s">
        <v>145</v>
      </c>
      <c r="H102" s="59">
        <v>0.69</v>
      </c>
      <c r="I102" s="60">
        <v>2.074</v>
      </c>
      <c r="J102" s="61">
        <f>LOG(0.869)</f>
        <v>-0.060980223551333534</v>
      </c>
      <c r="K102" s="62"/>
      <c r="L102" s="63"/>
    </row>
    <row r="103" spans="1:12" s="28" customFormat="1" ht="22.5" customHeight="1">
      <c r="A103" s="141"/>
      <c r="B103" s="57"/>
      <c r="C103" s="57"/>
      <c r="D103" s="57"/>
      <c r="E103" s="58"/>
      <c r="F103" s="49"/>
      <c r="G103" s="57"/>
      <c r="H103" s="59"/>
      <c r="I103" s="60"/>
      <c r="J103" s="61"/>
      <c r="K103" s="62"/>
      <c r="L103" s="63"/>
    </row>
    <row r="104" spans="1:12" s="28" customFormat="1" ht="22.5" customHeight="1">
      <c r="A104" s="141">
        <v>34</v>
      </c>
      <c r="B104" s="137" t="s">
        <v>30</v>
      </c>
      <c r="C104" s="57">
        <v>2020</v>
      </c>
      <c r="D104" s="57">
        <v>13</v>
      </c>
      <c r="E104" s="58">
        <v>0</v>
      </c>
      <c r="F104" s="49">
        <f t="shared" si="3"/>
        <v>13</v>
      </c>
      <c r="G104" s="38" t="s">
        <v>147</v>
      </c>
      <c r="H104" s="59">
        <v>0.912</v>
      </c>
      <c r="I104" s="60">
        <v>1.504</v>
      </c>
      <c r="J104" s="61">
        <f>LOG(0.884)</f>
        <v>-0.05354773498692691</v>
      </c>
      <c r="K104" s="62">
        <v>6266</v>
      </c>
      <c r="L104" s="63"/>
    </row>
    <row r="105" spans="1:12" s="24" customFormat="1" ht="25.5">
      <c r="A105" s="141"/>
      <c r="B105" s="57"/>
      <c r="C105" s="57" t="s">
        <v>146</v>
      </c>
      <c r="D105" s="57">
        <v>223</v>
      </c>
      <c r="E105" s="58">
        <v>0</v>
      </c>
      <c r="F105" s="49">
        <f t="shared" si="3"/>
        <v>223</v>
      </c>
      <c r="G105" s="57" t="s">
        <v>148</v>
      </c>
      <c r="H105" s="59">
        <v>0.886</v>
      </c>
      <c r="I105" s="60">
        <v>1.256</v>
      </c>
      <c r="J105" s="61">
        <f>LOG(2.342)</f>
        <v>0.3695868907363443</v>
      </c>
      <c r="K105" s="79"/>
      <c r="L105" s="63"/>
    </row>
    <row r="106" spans="1:12" s="24" customFormat="1" ht="25.5">
      <c r="A106" s="57"/>
      <c r="B106" s="57"/>
      <c r="C106" s="57"/>
      <c r="D106" s="57"/>
      <c r="E106" s="58"/>
      <c r="F106" s="49"/>
      <c r="G106" s="57"/>
      <c r="H106" s="59"/>
      <c r="I106" s="60"/>
      <c r="J106" s="61"/>
      <c r="K106" s="79"/>
      <c r="L106" s="63"/>
    </row>
    <row r="107" spans="1:12" s="24" customFormat="1" ht="25.5">
      <c r="A107" s="57">
        <v>35</v>
      </c>
      <c r="B107" s="139" t="s">
        <v>63</v>
      </c>
      <c r="C107" s="57">
        <v>2020</v>
      </c>
      <c r="D107" s="57">
        <v>26</v>
      </c>
      <c r="E107" s="58">
        <v>0</v>
      </c>
      <c r="F107" s="49">
        <f t="shared" si="3"/>
        <v>26</v>
      </c>
      <c r="G107" s="38" t="s">
        <v>150</v>
      </c>
      <c r="H107" s="59">
        <v>0.892</v>
      </c>
      <c r="I107" s="60">
        <v>1.979</v>
      </c>
      <c r="J107" s="61">
        <f>LOG(2.731)</f>
        <v>0.4363217001397333</v>
      </c>
      <c r="K107" s="62">
        <v>667</v>
      </c>
      <c r="L107" s="63"/>
    </row>
    <row r="108" spans="1:12" s="24" customFormat="1" ht="25.5">
      <c r="A108" s="57"/>
      <c r="B108" s="57"/>
      <c r="C108" s="57" t="s">
        <v>149</v>
      </c>
      <c r="D108" s="57">
        <v>89</v>
      </c>
      <c r="E108" s="58">
        <v>0</v>
      </c>
      <c r="F108" s="49">
        <f t="shared" si="3"/>
        <v>89</v>
      </c>
      <c r="G108" s="57" t="s">
        <v>151</v>
      </c>
      <c r="H108" s="59">
        <v>0.9</v>
      </c>
      <c r="I108" s="60">
        <v>1.869</v>
      </c>
      <c r="J108" s="61">
        <f>LOG(1.924)</f>
        <v>0.28420506770179416</v>
      </c>
      <c r="K108" s="79"/>
      <c r="L108" s="63"/>
    </row>
    <row r="109" spans="1:12" s="24" customFormat="1" ht="25.5">
      <c r="A109" s="100"/>
      <c r="B109" s="100"/>
      <c r="C109" s="100"/>
      <c r="D109" s="100"/>
      <c r="E109" s="100"/>
      <c r="F109" s="49"/>
      <c r="G109" s="100"/>
      <c r="H109" s="100"/>
      <c r="I109" s="100"/>
      <c r="J109" s="100"/>
      <c r="K109" s="100"/>
      <c r="L109" s="63"/>
    </row>
    <row r="110" spans="1:14" s="24" customFormat="1" ht="25.5">
      <c r="A110" s="57"/>
      <c r="B110" s="57"/>
      <c r="C110" s="57" t="s">
        <v>9</v>
      </c>
      <c r="D110" s="57">
        <f>SUM(D4:D109)</f>
        <v>15756</v>
      </c>
      <c r="E110" s="58">
        <v>0</v>
      </c>
      <c r="F110" s="49">
        <f t="shared" si="3"/>
        <v>15756</v>
      </c>
      <c r="G110" s="38"/>
      <c r="H110" s="59"/>
      <c r="I110" s="60"/>
      <c r="J110" s="61"/>
      <c r="K110" s="62"/>
      <c r="L110" s="53"/>
      <c r="N110" s="134"/>
    </row>
    <row r="111" spans="1:12" s="24" customFormat="1" ht="25.5">
      <c r="A111" s="101" t="s">
        <v>55</v>
      </c>
      <c r="B111" s="101"/>
      <c r="C111" s="128"/>
      <c r="D111" s="101"/>
      <c r="E111" s="102"/>
      <c r="F111" s="103"/>
      <c r="G111" s="101"/>
      <c r="H111" s="104"/>
      <c r="I111" s="105"/>
      <c r="J111" s="106"/>
      <c r="K111" s="107"/>
      <c r="L111" s="108"/>
    </row>
    <row r="112" spans="1:12" s="24" customFormat="1" ht="23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10"/>
    </row>
    <row r="113" spans="1:12" s="24" customFormat="1" ht="23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2"/>
    </row>
    <row r="114" spans="1:12" s="24" customFormat="1" ht="23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2"/>
    </row>
    <row r="115" spans="1:12" s="24" customFormat="1" ht="26.25">
      <c r="A115" s="113"/>
      <c r="B115" s="113"/>
      <c r="C115" s="113"/>
      <c r="D115" s="113"/>
      <c r="E115" s="114"/>
      <c r="F115" s="115"/>
      <c r="G115" s="113"/>
      <c r="H115" s="116"/>
      <c r="I115" s="117"/>
      <c r="J115" s="118"/>
      <c r="K115" s="113"/>
      <c r="L115" s="119"/>
    </row>
    <row r="116" spans="1:12" s="24" customFormat="1" ht="26.25">
      <c r="A116" s="120"/>
      <c r="B116" s="120"/>
      <c r="C116" s="120"/>
      <c r="D116" s="121"/>
      <c r="E116" s="122"/>
      <c r="F116" s="123"/>
      <c r="G116" s="124"/>
      <c r="H116" s="125"/>
      <c r="I116" s="124"/>
      <c r="J116" s="126"/>
      <c r="K116" s="127"/>
      <c r="L116" s="119"/>
    </row>
    <row r="117" spans="1:12" s="24" customFormat="1" ht="26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9"/>
    </row>
    <row r="118" spans="1:12" s="24" customFormat="1" ht="29.25">
      <c r="A118" s="29"/>
      <c r="B118" s="29"/>
      <c r="C118" s="29"/>
      <c r="D118" s="29"/>
      <c r="E118" s="29"/>
      <c r="F118" s="34"/>
      <c r="G118" s="22"/>
      <c r="H118" s="30"/>
      <c r="I118" s="22"/>
      <c r="J118" s="31"/>
      <c r="K118" s="22"/>
      <c r="L118" s="32"/>
    </row>
  </sheetData>
  <sheetProtection/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1811023622047245" right="0" top="0.7874015748031497" bottom="0.3937007874015748" header="0.5118110236220472" footer="0.551181102362204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20</v>
      </c>
      <c r="B1" s="15"/>
      <c r="C1" s="15"/>
    </row>
    <row r="2" spans="1:3" s="3" customFormat="1" ht="23.25">
      <c r="A2" s="202" t="s">
        <v>7</v>
      </c>
      <c r="B2" s="202" t="s">
        <v>0</v>
      </c>
      <c r="C2" s="203" t="s">
        <v>3</v>
      </c>
    </row>
    <row r="3" spans="1:3" s="3" customFormat="1" ht="23.25">
      <c r="A3" s="202"/>
      <c r="B3" s="202"/>
      <c r="C3" s="203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21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35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22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36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37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38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39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23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25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18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19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26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27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28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29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30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33</v>
      </c>
      <c r="B49" s="14"/>
      <c r="C49" s="14"/>
    </row>
  </sheetData>
  <sheetProtection/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115" zoomScaleNormal="115" zoomScalePageLayoutView="0" workbookViewId="0" topLeftCell="B1">
      <selection activeCell="J101" sqref="J101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8.00390625" style="165" customWidth="1"/>
    <col min="7" max="7" width="15.57421875" style="22" customWidth="1"/>
    <col min="8" max="8" width="8.7109375" style="30" customWidth="1"/>
    <col min="9" max="9" width="7.140625" style="22" customWidth="1"/>
    <col min="10" max="10" width="14.421875" style="31" customWidth="1"/>
    <col min="11" max="11" width="8.8515625" style="22" bestFit="1" customWidth="1"/>
    <col min="12" max="12" width="18.57421875" style="32" bestFit="1" customWidth="1"/>
    <col min="13" max="13" width="12.8515625" style="22" customWidth="1"/>
    <col min="14" max="14" width="12.57421875" style="29" customWidth="1"/>
    <col min="15" max="15" width="9.140625" style="29" customWidth="1"/>
    <col min="16" max="16" width="15.57421875" style="31" customWidth="1"/>
    <col min="17" max="17" width="3.421875" style="22" customWidth="1"/>
    <col min="18" max="18" width="18.8515625" style="22" customWidth="1"/>
    <col min="19" max="16384" width="9.140625" style="22" customWidth="1"/>
  </cols>
  <sheetData>
    <row r="1" spans="1:12" ht="29.25">
      <c r="A1" s="195" t="s">
        <v>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6" s="24" customFormat="1" ht="23.25">
      <c r="A2" s="191" t="s">
        <v>7</v>
      </c>
      <c r="B2" s="191" t="s">
        <v>0</v>
      </c>
      <c r="C2" s="191" t="s">
        <v>6</v>
      </c>
      <c r="D2" s="198" t="s">
        <v>5</v>
      </c>
      <c r="E2" s="199"/>
      <c r="F2" s="204"/>
      <c r="G2" s="201" t="s">
        <v>1</v>
      </c>
      <c r="H2" s="194" t="s">
        <v>4</v>
      </c>
      <c r="I2" s="191" t="s">
        <v>2</v>
      </c>
      <c r="J2" s="200" t="s">
        <v>3</v>
      </c>
      <c r="K2" s="23" t="s">
        <v>31</v>
      </c>
      <c r="L2" s="192" t="s">
        <v>34</v>
      </c>
      <c r="N2" s="96"/>
      <c r="O2" s="96"/>
      <c r="P2" s="154"/>
    </row>
    <row r="3" spans="1:16" s="24" customFormat="1" ht="23.25">
      <c r="A3" s="191"/>
      <c r="B3" s="191"/>
      <c r="C3" s="191"/>
      <c r="D3" s="25" t="s">
        <v>8</v>
      </c>
      <c r="E3" s="143" t="s">
        <v>10</v>
      </c>
      <c r="F3" s="164" t="s">
        <v>152</v>
      </c>
      <c r="G3" s="201"/>
      <c r="H3" s="194"/>
      <c r="I3" s="191"/>
      <c r="J3" s="200"/>
      <c r="K3" s="27" t="s">
        <v>32</v>
      </c>
      <c r="L3" s="193"/>
      <c r="N3" s="96"/>
      <c r="O3" s="96"/>
      <c r="P3" s="154"/>
    </row>
    <row r="4" spans="1:18" s="24" customFormat="1" ht="25.5">
      <c r="A4" s="40">
        <v>1</v>
      </c>
      <c r="B4" s="135" t="s">
        <v>11</v>
      </c>
      <c r="C4" s="40">
        <v>2021</v>
      </c>
      <c r="D4" s="40">
        <v>32</v>
      </c>
      <c r="E4" s="144">
        <v>0</v>
      </c>
      <c r="F4" s="158">
        <f>E4+D4</f>
        <v>32</v>
      </c>
      <c r="G4" s="157" t="s">
        <v>159</v>
      </c>
      <c r="H4" s="160">
        <v>0.7745</v>
      </c>
      <c r="I4" s="44">
        <v>1.3542</v>
      </c>
      <c r="J4" s="45">
        <v>-0.03348282355320812</v>
      </c>
      <c r="K4" s="46">
        <v>6350</v>
      </c>
      <c r="L4" s="47"/>
      <c r="M4" s="166" t="s">
        <v>155</v>
      </c>
      <c r="N4" s="167" t="s">
        <v>156</v>
      </c>
      <c r="O4" s="96">
        <v>0.9258</v>
      </c>
      <c r="P4" s="154">
        <f>LOG(O4)</f>
        <v>-0.03348282355320812</v>
      </c>
      <c r="R4" s="186">
        <f>LOG(O4)</f>
        <v>-0.03348282355320812</v>
      </c>
    </row>
    <row r="5" spans="1:18" s="24" customFormat="1" ht="25.5">
      <c r="A5" s="36"/>
      <c r="B5" s="36"/>
      <c r="C5" s="36" t="s">
        <v>158</v>
      </c>
      <c r="D5" s="36">
        <v>864</v>
      </c>
      <c r="E5" s="145">
        <v>0</v>
      </c>
      <c r="F5" s="158">
        <f>E5+D5</f>
        <v>864</v>
      </c>
      <c r="G5" s="97" t="s">
        <v>160</v>
      </c>
      <c r="H5" s="130">
        <v>0.8633</v>
      </c>
      <c r="I5" s="50">
        <v>1.5093</v>
      </c>
      <c r="J5" s="51">
        <v>0.12192078556303765</v>
      </c>
      <c r="K5" s="52"/>
      <c r="L5" s="53"/>
      <c r="N5" s="96"/>
      <c r="O5" s="96">
        <v>1.3241</v>
      </c>
      <c r="P5" s="154">
        <f>LOG(O5)</f>
        <v>0.12192078556303765</v>
      </c>
      <c r="R5" s="186">
        <f aca="true" t="shared" si="0" ref="R5:R68">LOG(O5)</f>
        <v>0.12192078556303765</v>
      </c>
    </row>
    <row r="6" spans="1:18" s="24" customFormat="1" ht="23.25">
      <c r="A6" s="36"/>
      <c r="B6" s="36"/>
      <c r="C6" s="36"/>
      <c r="D6" s="36"/>
      <c r="E6" s="145"/>
      <c r="F6" s="158"/>
      <c r="G6" s="36"/>
      <c r="H6" s="37"/>
      <c r="I6" s="50"/>
      <c r="J6" s="54"/>
      <c r="K6" s="52"/>
      <c r="L6" s="53"/>
      <c r="N6" s="96"/>
      <c r="O6" s="96"/>
      <c r="P6" s="154"/>
      <c r="R6" s="185" t="e">
        <f t="shared" si="0"/>
        <v>#NUM!</v>
      </c>
    </row>
    <row r="7" spans="1:18" s="24" customFormat="1" ht="25.5">
      <c r="A7" s="36">
        <f>+A4+1</f>
        <v>2</v>
      </c>
      <c r="B7" s="136" t="s">
        <v>12</v>
      </c>
      <c r="C7" s="36">
        <v>2021</v>
      </c>
      <c r="D7" s="36">
        <v>30</v>
      </c>
      <c r="E7" s="145">
        <v>0</v>
      </c>
      <c r="F7" s="158">
        <f>E7+D7</f>
        <v>30</v>
      </c>
      <c r="G7" s="35" t="s">
        <v>228</v>
      </c>
      <c r="H7" s="161">
        <v>0.7626</v>
      </c>
      <c r="I7" s="50">
        <v>1.4284</v>
      </c>
      <c r="J7" s="51">
        <v>0.29462051658742067</v>
      </c>
      <c r="K7" s="52">
        <v>1930</v>
      </c>
      <c r="L7" s="53"/>
      <c r="M7" s="166" t="s">
        <v>155</v>
      </c>
      <c r="N7" s="167" t="s">
        <v>156</v>
      </c>
      <c r="O7" s="183">
        <v>1.9707</v>
      </c>
      <c r="P7" s="154">
        <f>LOG(O7)</f>
        <v>0.29462051658742067</v>
      </c>
      <c r="R7" s="186">
        <f t="shared" si="0"/>
        <v>0.29462051658742067</v>
      </c>
    </row>
    <row r="8" spans="1:18" s="24" customFormat="1" ht="25.5">
      <c r="A8" s="36"/>
      <c r="B8" s="36"/>
      <c r="C8" s="36" t="s">
        <v>215</v>
      </c>
      <c r="D8" s="36">
        <v>460</v>
      </c>
      <c r="E8" s="146">
        <v>0</v>
      </c>
      <c r="F8" s="158">
        <f>E8+D8</f>
        <v>460</v>
      </c>
      <c r="G8" s="97" t="s">
        <v>216</v>
      </c>
      <c r="H8" s="37">
        <v>0.8756</v>
      </c>
      <c r="I8" s="50">
        <v>1.5862</v>
      </c>
      <c r="J8" s="51">
        <v>0.4312833318072613</v>
      </c>
      <c r="K8" s="52"/>
      <c r="L8" s="53"/>
      <c r="N8" s="96"/>
      <c r="O8" s="96">
        <v>2.6995</v>
      </c>
      <c r="P8" s="154">
        <f>LOG(O8)</f>
        <v>0.4312833318072613</v>
      </c>
      <c r="R8" s="186">
        <f t="shared" si="0"/>
        <v>0.4312833318072613</v>
      </c>
    </row>
    <row r="9" spans="1:18" s="24" customFormat="1" ht="23.25">
      <c r="A9" s="36"/>
      <c r="B9" s="36"/>
      <c r="C9" s="36"/>
      <c r="D9" s="36"/>
      <c r="E9" s="145"/>
      <c r="F9" s="158"/>
      <c r="G9" s="35"/>
      <c r="H9" s="37"/>
      <c r="I9" s="50"/>
      <c r="J9" s="51"/>
      <c r="K9" s="52"/>
      <c r="L9" s="53"/>
      <c r="N9" s="96"/>
      <c r="O9" s="96"/>
      <c r="P9" s="154"/>
      <c r="R9" s="185" t="e">
        <f t="shared" si="0"/>
        <v>#NUM!</v>
      </c>
    </row>
    <row r="10" spans="1:18" s="24" customFormat="1" ht="25.5">
      <c r="A10" s="36">
        <f>+A7+1</f>
        <v>3</v>
      </c>
      <c r="B10" s="137" t="s">
        <v>40</v>
      </c>
      <c r="C10" s="36">
        <v>2021</v>
      </c>
      <c r="D10" s="36">
        <v>26</v>
      </c>
      <c r="E10" s="145">
        <v>0</v>
      </c>
      <c r="F10" s="158">
        <f>E10+D10</f>
        <v>26</v>
      </c>
      <c r="G10" s="35" t="s">
        <v>180</v>
      </c>
      <c r="H10" s="37">
        <v>0.9273</v>
      </c>
      <c r="I10" s="50">
        <v>1.421</v>
      </c>
      <c r="J10" s="51">
        <v>-0.017141057687924757</v>
      </c>
      <c r="K10" s="52">
        <v>1569</v>
      </c>
      <c r="L10" s="53"/>
      <c r="M10" s="166" t="s">
        <v>155</v>
      </c>
      <c r="N10" s="167" t="s">
        <v>156</v>
      </c>
      <c r="O10" s="96">
        <v>0.9613</v>
      </c>
      <c r="P10" s="154">
        <f>LOG(O10)</f>
        <v>-0.017141057687924757</v>
      </c>
      <c r="R10" s="186">
        <f t="shared" si="0"/>
        <v>-0.017141057687924757</v>
      </c>
    </row>
    <row r="11" spans="1:18" s="24" customFormat="1" ht="25.5">
      <c r="A11" s="36"/>
      <c r="B11" s="36"/>
      <c r="C11" s="36" t="s">
        <v>161</v>
      </c>
      <c r="D11" s="36">
        <v>412</v>
      </c>
      <c r="E11" s="146">
        <v>0</v>
      </c>
      <c r="F11" s="158">
        <f>E11+D11</f>
        <v>412</v>
      </c>
      <c r="G11" s="36" t="s">
        <v>181</v>
      </c>
      <c r="H11" s="37">
        <v>0.8629</v>
      </c>
      <c r="I11" s="50">
        <v>1.3736</v>
      </c>
      <c r="J11" s="51">
        <v>0.06442054843359354</v>
      </c>
      <c r="K11" s="52"/>
      <c r="L11" s="53"/>
      <c r="N11" s="96"/>
      <c r="O11" s="96">
        <v>1.1599</v>
      </c>
      <c r="P11" s="154">
        <f>LOG(O11)</f>
        <v>0.06442054843359354</v>
      </c>
      <c r="R11" s="186">
        <f t="shared" si="0"/>
        <v>0.06442054843359354</v>
      </c>
    </row>
    <row r="12" spans="1:18" s="24" customFormat="1" ht="23.25">
      <c r="A12" s="36"/>
      <c r="B12" s="36"/>
      <c r="C12" s="36"/>
      <c r="D12" s="36"/>
      <c r="E12" s="145"/>
      <c r="F12" s="158"/>
      <c r="G12" s="36"/>
      <c r="H12" s="37"/>
      <c r="I12" s="50"/>
      <c r="J12" s="51"/>
      <c r="K12" s="52"/>
      <c r="L12" s="53"/>
      <c r="N12" s="96"/>
      <c r="O12" s="96"/>
      <c r="P12" s="154"/>
      <c r="R12" s="185" t="e">
        <f t="shared" si="0"/>
        <v>#NUM!</v>
      </c>
    </row>
    <row r="13" spans="1:18" s="24" customFormat="1" ht="25.5">
      <c r="A13" s="36">
        <f>+A10+1</f>
        <v>4</v>
      </c>
      <c r="B13" s="136" t="s">
        <v>35</v>
      </c>
      <c r="C13" s="36">
        <v>2021</v>
      </c>
      <c r="D13" s="36">
        <v>30</v>
      </c>
      <c r="E13" s="145">
        <v>0</v>
      </c>
      <c r="F13" s="158">
        <f>E13+D13</f>
        <v>30</v>
      </c>
      <c r="G13" s="35" t="s">
        <v>182</v>
      </c>
      <c r="H13" s="37">
        <v>0.7965</v>
      </c>
      <c r="I13" s="50">
        <v>1.2789</v>
      </c>
      <c r="J13" s="51">
        <v>0.5407422963305432</v>
      </c>
      <c r="K13" s="52">
        <v>452</v>
      </c>
      <c r="L13" s="53"/>
      <c r="M13" s="166" t="s">
        <v>155</v>
      </c>
      <c r="N13" s="167" t="s">
        <v>156</v>
      </c>
      <c r="O13" s="96">
        <v>3.4733</v>
      </c>
      <c r="P13" s="154">
        <f>LOG(O13)</f>
        <v>0.5407422963305432</v>
      </c>
      <c r="R13" s="186">
        <f t="shared" si="0"/>
        <v>0.5407422963305432</v>
      </c>
    </row>
    <row r="14" spans="1:18" s="24" customFormat="1" ht="29.25">
      <c r="A14" s="36"/>
      <c r="B14" s="36"/>
      <c r="C14" s="36" t="s">
        <v>219</v>
      </c>
      <c r="D14" s="36">
        <v>615</v>
      </c>
      <c r="E14" s="145">
        <v>0</v>
      </c>
      <c r="F14" s="158">
        <f>E14+D14</f>
        <v>615</v>
      </c>
      <c r="G14" s="36" t="s">
        <v>225</v>
      </c>
      <c r="H14" s="37">
        <v>0.8703</v>
      </c>
      <c r="I14" s="50">
        <v>1.4423</v>
      </c>
      <c r="J14" s="51">
        <v>0.6246017674422469</v>
      </c>
      <c r="K14" s="52"/>
      <c r="L14" s="53"/>
      <c r="N14" s="96"/>
      <c r="O14" s="96">
        <v>4.2131</v>
      </c>
      <c r="P14" s="154">
        <f>LOG(O14)</f>
        <v>0.6246017674422469</v>
      </c>
      <c r="R14" s="186">
        <f t="shared" si="0"/>
        <v>0.6246017674422469</v>
      </c>
    </row>
    <row r="15" spans="1:18" s="24" customFormat="1" ht="23.25">
      <c r="A15" s="36"/>
      <c r="B15" s="36"/>
      <c r="C15" s="36"/>
      <c r="D15" s="36"/>
      <c r="E15" s="145"/>
      <c r="F15" s="158"/>
      <c r="G15" s="36"/>
      <c r="H15" s="37"/>
      <c r="I15" s="50"/>
      <c r="J15" s="51"/>
      <c r="K15" s="52"/>
      <c r="L15" s="53"/>
      <c r="N15" s="96"/>
      <c r="O15" s="96"/>
      <c r="P15" s="154"/>
      <c r="R15" s="185" t="e">
        <f t="shared" si="0"/>
        <v>#NUM!</v>
      </c>
    </row>
    <row r="16" spans="1:18" s="24" customFormat="1" ht="25.5">
      <c r="A16" s="36">
        <f>+A13+1</f>
        <v>5</v>
      </c>
      <c r="B16" s="136" t="s">
        <v>22</v>
      </c>
      <c r="C16" s="36">
        <v>2021</v>
      </c>
      <c r="D16" s="36">
        <v>28</v>
      </c>
      <c r="E16" s="145">
        <v>1</v>
      </c>
      <c r="F16" s="158">
        <f>E16+D16</f>
        <v>29</v>
      </c>
      <c r="G16" s="35" t="s">
        <v>242</v>
      </c>
      <c r="H16" s="37">
        <v>0.7304</v>
      </c>
      <c r="I16" s="50">
        <v>1.6323</v>
      </c>
      <c r="J16" s="51">
        <v>0.26850776774735025</v>
      </c>
      <c r="K16" s="52">
        <v>546</v>
      </c>
      <c r="L16" s="53"/>
      <c r="M16" s="166" t="s">
        <v>155</v>
      </c>
      <c r="N16" s="167" t="s">
        <v>156</v>
      </c>
      <c r="O16" s="96">
        <v>1.8557</v>
      </c>
      <c r="P16" s="154">
        <f>LOG(O16)</f>
        <v>0.26850776774735025</v>
      </c>
      <c r="R16" s="186">
        <f t="shared" si="0"/>
        <v>0.26850776774735025</v>
      </c>
    </row>
    <row r="17" spans="1:18" s="24" customFormat="1" ht="25.5">
      <c r="A17" s="36"/>
      <c r="B17" s="36"/>
      <c r="C17" s="36" t="s">
        <v>162</v>
      </c>
      <c r="D17" s="36">
        <v>610</v>
      </c>
      <c r="E17" s="145">
        <v>1</v>
      </c>
      <c r="F17" s="158">
        <f>E17+D17</f>
        <v>611</v>
      </c>
      <c r="G17" s="159" t="s">
        <v>226</v>
      </c>
      <c r="H17" s="37">
        <v>0.8773</v>
      </c>
      <c r="I17" s="50">
        <v>1.3177</v>
      </c>
      <c r="J17" s="51">
        <v>0.7184850807301414</v>
      </c>
      <c r="K17" s="52"/>
      <c r="L17" s="53"/>
      <c r="N17" s="96"/>
      <c r="O17" s="183">
        <v>5.2298</v>
      </c>
      <c r="P17" s="154">
        <f>LOG(O17)</f>
        <v>0.7184850807301414</v>
      </c>
      <c r="R17" s="186">
        <f t="shared" si="0"/>
        <v>0.7184850807301414</v>
      </c>
    </row>
    <row r="18" spans="1:18" s="24" customFormat="1" ht="23.25">
      <c r="A18" s="36"/>
      <c r="B18" s="36"/>
      <c r="C18" s="36"/>
      <c r="D18" s="36"/>
      <c r="E18" s="145"/>
      <c r="F18" s="158"/>
      <c r="G18" s="36"/>
      <c r="H18" s="37"/>
      <c r="I18" s="50"/>
      <c r="J18" s="51"/>
      <c r="K18" s="52"/>
      <c r="L18" s="53"/>
      <c r="N18" s="96"/>
      <c r="O18" s="96"/>
      <c r="P18" s="154"/>
      <c r="R18" s="185" t="e">
        <f t="shared" si="0"/>
        <v>#NUM!</v>
      </c>
    </row>
    <row r="19" spans="1:18" s="24" customFormat="1" ht="25.5">
      <c r="A19" s="36">
        <f>+A16+1</f>
        <v>6</v>
      </c>
      <c r="B19" s="136" t="s">
        <v>41</v>
      </c>
      <c r="C19" s="36">
        <v>2021</v>
      </c>
      <c r="D19" s="96">
        <v>29</v>
      </c>
      <c r="E19" s="145">
        <v>0</v>
      </c>
      <c r="F19" s="158">
        <f aca="true" t="shared" si="1" ref="F19:F29">E19+D19</f>
        <v>29</v>
      </c>
      <c r="G19" s="35" t="s">
        <v>241</v>
      </c>
      <c r="H19" s="37">
        <v>0.7241</v>
      </c>
      <c r="I19" s="50">
        <v>1.352</v>
      </c>
      <c r="J19" s="51">
        <v>-0.0464819185550074</v>
      </c>
      <c r="K19" s="52">
        <v>5323</v>
      </c>
      <c r="L19" s="53"/>
      <c r="M19" s="166" t="s">
        <v>155</v>
      </c>
      <c r="N19" s="167" t="s">
        <v>156</v>
      </c>
      <c r="O19" s="96">
        <v>0.8985</v>
      </c>
      <c r="P19" s="154">
        <f>LOG(O19)</f>
        <v>-0.0464819185550074</v>
      </c>
      <c r="R19" s="186">
        <f t="shared" si="0"/>
        <v>-0.0464819185550074</v>
      </c>
    </row>
    <row r="20" spans="1:18" s="24" customFormat="1" ht="25.5" customHeight="1">
      <c r="A20" s="36"/>
      <c r="B20" s="36"/>
      <c r="C20" s="36" t="s">
        <v>161</v>
      </c>
      <c r="D20" s="36">
        <v>480</v>
      </c>
      <c r="E20" s="145">
        <v>0</v>
      </c>
      <c r="F20" s="158">
        <f t="shared" si="1"/>
        <v>480</v>
      </c>
      <c r="G20" s="36" t="s">
        <v>224</v>
      </c>
      <c r="H20" s="153">
        <v>0.8651</v>
      </c>
      <c r="I20" s="50">
        <v>1.5504</v>
      </c>
      <c r="J20" s="51">
        <v>0.2543788698948932</v>
      </c>
      <c r="K20" s="52"/>
      <c r="L20" s="53" t="s">
        <v>56</v>
      </c>
      <c r="N20" s="96"/>
      <c r="O20" s="96">
        <v>1.7963</v>
      </c>
      <c r="P20" s="154">
        <f>LOG(O20)</f>
        <v>0.2543788698948932</v>
      </c>
      <c r="R20" s="186">
        <f t="shared" si="0"/>
        <v>0.2543788698948932</v>
      </c>
    </row>
    <row r="21" spans="1:18" s="24" customFormat="1" ht="23.25">
      <c r="A21" s="36"/>
      <c r="B21" s="36"/>
      <c r="C21" s="36"/>
      <c r="D21" s="36"/>
      <c r="E21" s="145"/>
      <c r="F21" s="158"/>
      <c r="G21" s="36"/>
      <c r="H21" s="37"/>
      <c r="I21" s="50"/>
      <c r="J21" s="51"/>
      <c r="K21" s="52"/>
      <c r="L21" s="53"/>
      <c r="N21" s="96"/>
      <c r="O21" s="96"/>
      <c r="P21" s="154"/>
      <c r="R21" s="185" t="e">
        <f t="shared" si="0"/>
        <v>#NUM!</v>
      </c>
    </row>
    <row r="22" spans="1:18" s="24" customFormat="1" ht="25.5">
      <c r="A22" s="36">
        <v>7</v>
      </c>
      <c r="B22" s="136" t="s">
        <v>37</v>
      </c>
      <c r="C22" s="36">
        <v>2021</v>
      </c>
      <c r="D22" s="36">
        <v>25</v>
      </c>
      <c r="E22" s="145">
        <v>2</v>
      </c>
      <c r="F22" s="158">
        <f t="shared" si="1"/>
        <v>27</v>
      </c>
      <c r="G22" s="175" t="s">
        <v>163</v>
      </c>
      <c r="H22" s="37">
        <v>0.9384</v>
      </c>
      <c r="I22" s="50">
        <v>1.5114</v>
      </c>
      <c r="J22" s="51">
        <v>-0.5018273393634561</v>
      </c>
      <c r="K22" s="52">
        <v>14814</v>
      </c>
      <c r="L22" s="53"/>
      <c r="M22" s="166" t="s">
        <v>155</v>
      </c>
      <c r="N22" s="167" t="s">
        <v>156</v>
      </c>
      <c r="O22" s="96">
        <v>0.3149</v>
      </c>
      <c r="P22" s="154">
        <f>LOG(O22)</f>
        <v>-0.5018273393634561</v>
      </c>
      <c r="R22" s="186">
        <f t="shared" si="0"/>
        <v>-0.5018273393634561</v>
      </c>
    </row>
    <row r="23" spans="1:18" s="24" customFormat="1" ht="25.5">
      <c r="A23" s="36"/>
      <c r="B23" s="36"/>
      <c r="C23" s="36" t="s">
        <v>219</v>
      </c>
      <c r="D23" s="36">
        <v>420</v>
      </c>
      <c r="E23" s="145">
        <v>2</v>
      </c>
      <c r="F23" s="158">
        <f t="shared" si="1"/>
        <v>422</v>
      </c>
      <c r="G23" s="36" t="s">
        <v>183</v>
      </c>
      <c r="H23" s="37">
        <v>0.8906</v>
      </c>
      <c r="I23" s="50">
        <v>1.391</v>
      </c>
      <c r="J23" s="51">
        <v>0.026492407052839655</v>
      </c>
      <c r="K23" s="52"/>
      <c r="L23" s="53"/>
      <c r="N23" s="96"/>
      <c r="O23" s="96">
        <v>1.0629</v>
      </c>
      <c r="P23" s="154">
        <f>LOG(O23)</f>
        <v>0.026492407052839655</v>
      </c>
      <c r="R23" s="186">
        <f t="shared" si="0"/>
        <v>0.026492407052839655</v>
      </c>
    </row>
    <row r="24" spans="1:18" s="24" customFormat="1" ht="23.25">
      <c r="A24" s="36"/>
      <c r="B24" s="36"/>
      <c r="C24" s="36"/>
      <c r="D24" s="36"/>
      <c r="E24" s="145"/>
      <c r="F24" s="158"/>
      <c r="G24" s="36"/>
      <c r="H24" s="37"/>
      <c r="I24" s="50"/>
      <c r="J24" s="51"/>
      <c r="K24" s="52"/>
      <c r="L24" s="53"/>
      <c r="N24" s="96"/>
      <c r="O24" s="96"/>
      <c r="P24" s="154"/>
      <c r="R24" s="185" t="e">
        <f t="shared" si="0"/>
        <v>#NUM!</v>
      </c>
    </row>
    <row r="25" spans="1:18" s="24" customFormat="1" ht="25.5">
      <c r="A25" s="36">
        <v>8</v>
      </c>
      <c r="B25" s="136" t="s">
        <v>57</v>
      </c>
      <c r="C25" s="36">
        <v>2021</v>
      </c>
      <c r="D25" s="36">
        <v>27</v>
      </c>
      <c r="E25" s="145">
        <v>0</v>
      </c>
      <c r="F25" s="158">
        <f t="shared" si="1"/>
        <v>27</v>
      </c>
      <c r="G25" s="132" t="s">
        <v>184</v>
      </c>
      <c r="H25" s="37">
        <v>0.8728</v>
      </c>
      <c r="I25" s="50">
        <v>1.4012</v>
      </c>
      <c r="J25" s="51">
        <v>-0.4073791786780176</v>
      </c>
      <c r="K25" s="52">
        <v>14887</v>
      </c>
      <c r="L25" s="53"/>
      <c r="M25" s="166" t="s">
        <v>155</v>
      </c>
      <c r="N25" s="167" t="s">
        <v>156</v>
      </c>
      <c r="O25" s="96">
        <v>0.3914</v>
      </c>
      <c r="P25" s="154">
        <f>LOG(O25)</f>
        <v>-0.4073791786780176</v>
      </c>
      <c r="R25" s="186">
        <f t="shared" si="0"/>
        <v>-0.4073791786780176</v>
      </c>
    </row>
    <row r="26" spans="1:18" s="24" customFormat="1" ht="25.5">
      <c r="A26" s="36"/>
      <c r="B26" s="36"/>
      <c r="C26" s="36" t="s">
        <v>172</v>
      </c>
      <c r="D26" s="36">
        <v>217</v>
      </c>
      <c r="E26" s="145">
        <v>0</v>
      </c>
      <c r="F26" s="158">
        <f t="shared" si="1"/>
        <v>217</v>
      </c>
      <c r="G26" s="36" t="s">
        <v>185</v>
      </c>
      <c r="H26" s="37">
        <v>0.8882</v>
      </c>
      <c r="I26" s="50">
        <v>1.3082</v>
      </c>
      <c r="J26" s="51">
        <v>0.09212386924425069</v>
      </c>
      <c r="K26" s="52"/>
      <c r="L26" s="53"/>
      <c r="N26" s="96"/>
      <c r="O26" s="96">
        <v>1.2363</v>
      </c>
      <c r="P26" s="154">
        <f>LOG(O26)</f>
        <v>0.09212386924425069</v>
      </c>
      <c r="R26" s="186">
        <f t="shared" si="0"/>
        <v>0.09212386924425069</v>
      </c>
    </row>
    <row r="27" spans="1:18" s="24" customFormat="1" ht="23.25">
      <c r="A27" s="36"/>
      <c r="B27" s="36"/>
      <c r="C27" s="36"/>
      <c r="D27" s="36"/>
      <c r="E27" s="145"/>
      <c r="F27" s="158">
        <f t="shared" si="1"/>
        <v>0</v>
      </c>
      <c r="G27" s="36"/>
      <c r="H27" s="37"/>
      <c r="I27" s="50"/>
      <c r="J27" s="51"/>
      <c r="K27" s="52"/>
      <c r="L27" s="53"/>
      <c r="N27" s="96"/>
      <c r="O27" s="96"/>
      <c r="P27" s="154"/>
      <c r="R27" s="185" t="e">
        <f t="shared" si="0"/>
        <v>#NUM!</v>
      </c>
    </row>
    <row r="28" spans="1:18" s="24" customFormat="1" ht="25.5">
      <c r="A28" s="36">
        <v>9</v>
      </c>
      <c r="B28" s="136" t="s">
        <v>38</v>
      </c>
      <c r="C28" s="36">
        <v>2021</v>
      </c>
      <c r="D28" s="36">
        <v>22</v>
      </c>
      <c r="E28" s="145">
        <v>8</v>
      </c>
      <c r="F28" s="158">
        <f t="shared" si="1"/>
        <v>30</v>
      </c>
      <c r="G28" s="132" t="s">
        <v>217</v>
      </c>
      <c r="H28" s="130">
        <v>0.7174</v>
      </c>
      <c r="I28" s="37">
        <v>1.5133</v>
      </c>
      <c r="J28" s="51">
        <v>-0.32084475871664614</v>
      </c>
      <c r="K28" s="52">
        <v>3088</v>
      </c>
      <c r="L28" s="53"/>
      <c r="M28" s="166" t="s">
        <v>155</v>
      </c>
      <c r="N28" s="167" t="s">
        <v>156</v>
      </c>
      <c r="O28" s="96">
        <v>0.4777</v>
      </c>
      <c r="P28" s="154">
        <f>LOG(O28)</f>
        <v>-0.32084475871664614</v>
      </c>
      <c r="R28" s="186">
        <f t="shared" si="0"/>
        <v>-0.32084475871664614</v>
      </c>
    </row>
    <row r="29" spans="1:18" s="24" customFormat="1" ht="25.5">
      <c r="A29" s="36"/>
      <c r="B29" s="36"/>
      <c r="C29" s="36" t="s">
        <v>219</v>
      </c>
      <c r="D29" s="36">
        <v>598</v>
      </c>
      <c r="E29" s="145">
        <v>8</v>
      </c>
      <c r="F29" s="158">
        <f t="shared" si="1"/>
        <v>606</v>
      </c>
      <c r="G29" s="97" t="s">
        <v>218</v>
      </c>
      <c r="H29" s="130">
        <v>0.5961</v>
      </c>
      <c r="I29" s="37">
        <v>1.6343</v>
      </c>
      <c r="J29" s="51">
        <v>-0.07987667370927608</v>
      </c>
      <c r="K29" s="52"/>
      <c r="L29" s="53"/>
      <c r="O29" s="183">
        <v>0.832</v>
      </c>
      <c r="P29" s="154">
        <f>LOG(O29)</f>
        <v>-0.07987667370927608</v>
      </c>
      <c r="R29" s="186">
        <f t="shared" si="0"/>
        <v>-0.07987667370927608</v>
      </c>
    </row>
    <row r="30" spans="1:18" s="24" customFormat="1" ht="23.25">
      <c r="A30" s="36"/>
      <c r="B30" s="36"/>
      <c r="C30" s="36"/>
      <c r="D30" s="36"/>
      <c r="E30" s="145"/>
      <c r="F30" s="158"/>
      <c r="G30" s="36"/>
      <c r="H30" s="37"/>
      <c r="I30" s="50"/>
      <c r="J30" s="51"/>
      <c r="K30" s="52"/>
      <c r="L30" s="53"/>
      <c r="N30" s="96"/>
      <c r="O30" s="96"/>
      <c r="P30" s="154"/>
      <c r="R30" s="185" t="e">
        <f t="shared" si="0"/>
        <v>#NUM!</v>
      </c>
    </row>
    <row r="31" spans="1:18" s="24" customFormat="1" ht="25.5">
      <c r="A31" s="36">
        <v>10</v>
      </c>
      <c r="B31" s="136" t="s">
        <v>39</v>
      </c>
      <c r="C31" s="36">
        <v>2021</v>
      </c>
      <c r="D31" s="36">
        <v>29</v>
      </c>
      <c r="E31" s="145">
        <v>0</v>
      </c>
      <c r="F31" s="158">
        <f>E31+D31</f>
        <v>29</v>
      </c>
      <c r="G31" s="35" t="s">
        <v>186</v>
      </c>
      <c r="H31" s="37">
        <v>0.9452</v>
      </c>
      <c r="I31" s="50">
        <v>1.5437</v>
      </c>
      <c r="J31" s="51">
        <v>0.2614294155594467</v>
      </c>
      <c r="K31" s="52">
        <v>1544</v>
      </c>
      <c r="L31" s="56"/>
      <c r="M31" s="166" t="s">
        <v>155</v>
      </c>
      <c r="N31" s="167" t="s">
        <v>156</v>
      </c>
      <c r="O31" s="96">
        <v>1.8257</v>
      </c>
      <c r="P31" s="154">
        <f>LOG(O31)</f>
        <v>0.2614294155594467</v>
      </c>
      <c r="R31" s="186">
        <f t="shared" si="0"/>
        <v>0.2614294155594467</v>
      </c>
    </row>
    <row r="32" spans="1:18" s="24" customFormat="1" ht="25.5">
      <c r="A32" s="36"/>
      <c r="B32" s="36"/>
      <c r="C32" s="36" t="s">
        <v>219</v>
      </c>
      <c r="D32" s="36">
        <v>571</v>
      </c>
      <c r="E32" s="145">
        <v>0</v>
      </c>
      <c r="F32" s="158">
        <f>E32+D32</f>
        <v>571</v>
      </c>
      <c r="G32" s="97" t="s">
        <v>164</v>
      </c>
      <c r="H32" s="37">
        <v>0.8624</v>
      </c>
      <c r="I32" s="50">
        <v>1.4107</v>
      </c>
      <c r="J32" s="51">
        <v>0.34570692127842806</v>
      </c>
      <c r="K32" s="52"/>
      <c r="L32" s="56"/>
      <c r="N32" s="96"/>
      <c r="O32" s="96">
        <v>2.2167</v>
      </c>
      <c r="P32" s="154">
        <f>LOG(O32)</f>
        <v>0.34570692127842806</v>
      </c>
      <c r="R32" s="186">
        <f t="shared" si="0"/>
        <v>0.34570692127842806</v>
      </c>
    </row>
    <row r="33" spans="1:18" s="24" customFormat="1" ht="23.25">
      <c r="A33" s="36"/>
      <c r="B33" s="36"/>
      <c r="C33" s="36"/>
      <c r="D33" s="36"/>
      <c r="E33" s="145"/>
      <c r="F33" s="158"/>
      <c r="G33" s="36"/>
      <c r="H33" s="37"/>
      <c r="I33" s="50"/>
      <c r="J33" s="51"/>
      <c r="K33" s="52"/>
      <c r="L33" s="56"/>
      <c r="N33" s="96"/>
      <c r="O33" s="96"/>
      <c r="P33" s="154"/>
      <c r="R33" s="185" t="e">
        <f t="shared" si="0"/>
        <v>#NUM!</v>
      </c>
    </row>
    <row r="34" spans="1:18" s="24" customFormat="1" ht="25.5">
      <c r="A34" s="36">
        <v>11</v>
      </c>
      <c r="B34" s="137" t="s">
        <v>23</v>
      </c>
      <c r="C34" s="36">
        <v>2021</v>
      </c>
      <c r="D34" s="36">
        <v>20</v>
      </c>
      <c r="E34" s="145">
        <v>0</v>
      </c>
      <c r="F34" s="98">
        <f>E34+D34</f>
        <v>20</v>
      </c>
      <c r="G34" s="35" t="s">
        <v>187</v>
      </c>
      <c r="H34" s="37">
        <v>0.9266</v>
      </c>
      <c r="I34" s="50">
        <v>1.808</v>
      </c>
      <c r="J34" s="51">
        <v>0.8039962347250286</v>
      </c>
      <c r="K34" s="52">
        <v>550</v>
      </c>
      <c r="L34" s="56"/>
      <c r="M34" s="166" t="s">
        <v>155</v>
      </c>
      <c r="N34" s="167" t="s">
        <v>156</v>
      </c>
      <c r="O34" s="96">
        <v>6.3679</v>
      </c>
      <c r="P34" s="154">
        <f>LOG(O34)</f>
        <v>0.8039962347250286</v>
      </c>
      <c r="R34" s="186">
        <f t="shared" si="0"/>
        <v>0.8039962347250286</v>
      </c>
    </row>
    <row r="35" spans="1:18" s="24" customFormat="1" ht="25.5">
      <c r="A35" s="36"/>
      <c r="B35" s="36"/>
      <c r="C35" s="36" t="s">
        <v>162</v>
      </c>
      <c r="D35" s="36">
        <v>563</v>
      </c>
      <c r="E35" s="145">
        <v>0</v>
      </c>
      <c r="F35" s="98">
        <f>E35+D35</f>
        <v>563</v>
      </c>
      <c r="G35" s="36" t="s">
        <v>188</v>
      </c>
      <c r="H35" s="37">
        <v>0.8688</v>
      </c>
      <c r="I35" s="50">
        <v>1.3252</v>
      </c>
      <c r="J35" s="51">
        <v>0.486189530911881</v>
      </c>
      <c r="K35" s="52"/>
      <c r="L35" s="56"/>
      <c r="N35" s="96"/>
      <c r="O35" s="96">
        <v>3.0633</v>
      </c>
      <c r="P35" s="154">
        <f>LOG(O35)</f>
        <v>0.486189530911881</v>
      </c>
      <c r="R35" s="186">
        <f t="shared" si="0"/>
        <v>0.486189530911881</v>
      </c>
    </row>
    <row r="36" spans="1:18" s="24" customFormat="1" ht="23.25">
      <c r="A36" s="36"/>
      <c r="B36" s="36"/>
      <c r="C36" s="36"/>
      <c r="D36" s="36"/>
      <c r="E36" s="145"/>
      <c r="F36" s="158"/>
      <c r="G36" s="36"/>
      <c r="H36" s="37"/>
      <c r="I36" s="50"/>
      <c r="J36" s="51"/>
      <c r="K36" s="52"/>
      <c r="L36" s="56"/>
      <c r="N36" s="96"/>
      <c r="O36" s="96"/>
      <c r="P36" s="154"/>
      <c r="R36" s="185" t="e">
        <f t="shared" si="0"/>
        <v>#NUM!</v>
      </c>
    </row>
    <row r="37" spans="1:18" s="24" customFormat="1" ht="25.5">
      <c r="A37" s="36">
        <f>+A34+1</f>
        <v>12</v>
      </c>
      <c r="B37" s="136" t="s">
        <v>42</v>
      </c>
      <c r="C37" s="36">
        <v>2021</v>
      </c>
      <c r="D37" s="36">
        <v>31</v>
      </c>
      <c r="E37" s="145">
        <v>0</v>
      </c>
      <c r="F37" s="158">
        <f>E37+D37</f>
        <v>31</v>
      </c>
      <c r="G37" s="132" t="s">
        <v>220</v>
      </c>
      <c r="H37" s="37">
        <v>0.8021</v>
      </c>
      <c r="I37" s="50">
        <v>1.4278</v>
      </c>
      <c r="J37" s="51">
        <v>0.44199346335743767</v>
      </c>
      <c r="K37" s="52">
        <v>136</v>
      </c>
      <c r="L37" s="56"/>
      <c r="M37" s="166" t="s">
        <v>155</v>
      </c>
      <c r="N37" s="167" t="s">
        <v>156</v>
      </c>
      <c r="O37" s="96">
        <v>2.7669</v>
      </c>
      <c r="P37" s="154">
        <f>LOG(O37)</f>
        <v>0.44199346335743767</v>
      </c>
      <c r="R37" s="186">
        <f t="shared" si="0"/>
        <v>0.44199346335743767</v>
      </c>
    </row>
    <row r="38" spans="1:18" s="24" customFormat="1" ht="25.5">
      <c r="A38" s="80"/>
      <c r="B38" s="80"/>
      <c r="C38" s="80" t="s">
        <v>165</v>
      </c>
      <c r="D38" s="80">
        <v>456</v>
      </c>
      <c r="E38" s="147">
        <v>0</v>
      </c>
      <c r="F38" s="158">
        <f>E38+D38</f>
        <v>456</v>
      </c>
      <c r="G38" s="178" t="s">
        <v>221</v>
      </c>
      <c r="H38" s="83">
        <v>0.6147</v>
      </c>
      <c r="I38" s="84">
        <v>1.4879</v>
      </c>
      <c r="J38" s="54">
        <v>0.31045964365906004</v>
      </c>
      <c r="K38" s="85"/>
      <c r="L38" s="86"/>
      <c r="M38" s="129"/>
      <c r="O38" s="96">
        <v>2.0439</v>
      </c>
      <c r="P38" s="154">
        <f>LOG(O38)</f>
        <v>0.31045964365906004</v>
      </c>
      <c r="R38" s="186">
        <f t="shared" si="0"/>
        <v>0.31045964365906004</v>
      </c>
    </row>
    <row r="39" spans="1:18" s="24" customFormat="1" ht="23.25">
      <c r="A39" s="36"/>
      <c r="B39" s="36"/>
      <c r="C39" s="36"/>
      <c r="D39" s="36"/>
      <c r="E39" s="145"/>
      <c r="F39" s="158"/>
      <c r="G39" s="36"/>
      <c r="H39" s="37"/>
      <c r="I39" s="50"/>
      <c r="J39" s="51"/>
      <c r="K39" s="52"/>
      <c r="L39" s="56"/>
      <c r="N39" s="96"/>
      <c r="O39" s="96"/>
      <c r="P39" s="154"/>
      <c r="R39" s="185" t="e">
        <f t="shared" si="0"/>
        <v>#NUM!</v>
      </c>
    </row>
    <row r="40" spans="1:18" s="24" customFormat="1" ht="25.5">
      <c r="A40" s="87">
        <f>+A37+1</f>
        <v>13</v>
      </c>
      <c r="B40" s="138" t="s">
        <v>43</v>
      </c>
      <c r="C40" s="87">
        <v>2021</v>
      </c>
      <c r="D40" s="87">
        <v>30</v>
      </c>
      <c r="E40" s="148">
        <v>1</v>
      </c>
      <c r="F40" s="158">
        <f>E40+D40</f>
        <v>31</v>
      </c>
      <c r="G40" s="180" t="s">
        <v>227</v>
      </c>
      <c r="H40" s="90">
        <v>0.7239</v>
      </c>
      <c r="I40" s="91">
        <v>1.4063</v>
      </c>
      <c r="J40" s="92">
        <v>0.2222481168589315</v>
      </c>
      <c r="K40" s="93">
        <v>129</v>
      </c>
      <c r="L40" s="94"/>
      <c r="M40" s="166" t="s">
        <v>155</v>
      </c>
      <c r="N40" s="167" t="s">
        <v>156</v>
      </c>
      <c r="O40" s="96">
        <v>1.6682</v>
      </c>
      <c r="P40" s="154">
        <f>LOG(O40)</f>
        <v>0.2222481168589315</v>
      </c>
      <c r="R40" s="186">
        <f t="shared" si="0"/>
        <v>0.2222481168589315</v>
      </c>
    </row>
    <row r="41" spans="1:18" s="24" customFormat="1" ht="25.5">
      <c r="A41" s="36"/>
      <c r="B41" s="36"/>
      <c r="C41" s="36" t="s">
        <v>165</v>
      </c>
      <c r="D41" s="36">
        <v>467</v>
      </c>
      <c r="E41" s="145">
        <v>1</v>
      </c>
      <c r="F41" s="158">
        <f>E41+D41</f>
        <v>468</v>
      </c>
      <c r="G41" s="179" t="s">
        <v>229</v>
      </c>
      <c r="H41" s="37">
        <v>0.7306</v>
      </c>
      <c r="I41" s="50">
        <v>1.5073</v>
      </c>
      <c r="J41" s="51">
        <v>0.32244672276039377</v>
      </c>
      <c r="K41" s="52"/>
      <c r="L41" s="56"/>
      <c r="M41" s="129"/>
      <c r="O41" s="96">
        <v>2.1011</v>
      </c>
      <c r="P41" s="154">
        <f>LOG(O41)</f>
        <v>0.32244672276039377</v>
      </c>
      <c r="R41" s="186">
        <f t="shared" si="0"/>
        <v>0.32244672276039377</v>
      </c>
    </row>
    <row r="42" spans="1:18" s="24" customFormat="1" ht="23.25">
      <c r="A42" s="36"/>
      <c r="B42" s="36"/>
      <c r="C42" s="36"/>
      <c r="D42" s="36"/>
      <c r="E42" s="145"/>
      <c r="F42" s="158"/>
      <c r="G42" s="36"/>
      <c r="H42" s="37"/>
      <c r="I42" s="50"/>
      <c r="J42" s="51"/>
      <c r="K42" s="52"/>
      <c r="L42" s="56"/>
      <c r="N42" s="96"/>
      <c r="O42" s="96"/>
      <c r="P42" s="154"/>
      <c r="R42" s="185" t="e">
        <f t="shared" si="0"/>
        <v>#NUM!</v>
      </c>
    </row>
    <row r="43" spans="1:18" s="24" customFormat="1" ht="25.5">
      <c r="A43" s="36">
        <f>+A40+1</f>
        <v>14</v>
      </c>
      <c r="B43" s="136" t="s">
        <v>44</v>
      </c>
      <c r="C43" s="36">
        <v>2021</v>
      </c>
      <c r="D43" s="36">
        <v>30</v>
      </c>
      <c r="E43" s="145">
        <v>0</v>
      </c>
      <c r="F43" s="98">
        <f>E43+D43</f>
        <v>30</v>
      </c>
      <c r="G43" s="132" t="s">
        <v>166</v>
      </c>
      <c r="H43" s="130">
        <v>0.8544</v>
      </c>
      <c r="I43" s="50">
        <v>1.9052</v>
      </c>
      <c r="J43" s="51">
        <v>-0.011530229790124493</v>
      </c>
      <c r="K43" s="52">
        <v>389</v>
      </c>
      <c r="L43" s="156"/>
      <c r="M43" s="166" t="s">
        <v>155</v>
      </c>
      <c r="N43" s="167" t="s">
        <v>156</v>
      </c>
      <c r="O43" s="96">
        <v>0.9738</v>
      </c>
      <c r="P43" s="154">
        <f>LOG(O43)</f>
        <v>-0.011530229790124493</v>
      </c>
      <c r="R43" s="186">
        <f t="shared" si="0"/>
        <v>-0.011530229790124493</v>
      </c>
    </row>
    <row r="44" spans="1:18" s="24" customFormat="1" ht="25.5">
      <c r="A44" s="36"/>
      <c r="B44" s="36"/>
      <c r="C44" s="36" t="s">
        <v>165</v>
      </c>
      <c r="D44" s="36">
        <v>523</v>
      </c>
      <c r="E44" s="145">
        <v>0</v>
      </c>
      <c r="F44" s="98">
        <f>E44+D44</f>
        <v>523</v>
      </c>
      <c r="G44" s="97" t="s">
        <v>167</v>
      </c>
      <c r="H44" s="130">
        <v>0.6001</v>
      </c>
      <c r="I44" s="50">
        <v>1.6368</v>
      </c>
      <c r="J44" s="51">
        <v>0.15645828524045638</v>
      </c>
      <c r="K44" s="52"/>
      <c r="L44" s="56"/>
      <c r="N44" s="96"/>
      <c r="O44" s="96">
        <v>1.4337</v>
      </c>
      <c r="P44" s="154">
        <f>LOG(O44)</f>
        <v>0.15645828524045638</v>
      </c>
      <c r="R44" s="186">
        <f t="shared" si="0"/>
        <v>0.15645828524045638</v>
      </c>
    </row>
    <row r="45" spans="1:18" s="24" customFormat="1" ht="23.25">
      <c r="A45" s="36"/>
      <c r="B45" s="36"/>
      <c r="C45" s="36"/>
      <c r="D45" s="36"/>
      <c r="E45" s="145"/>
      <c r="F45" s="158"/>
      <c r="G45" s="36"/>
      <c r="H45" s="37"/>
      <c r="I45" s="50"/>
      <c r="J45" s="51"/>
      <c r="K45" s="52"/>
      <c r="L45" s="56" t="s">
        <v>56</v>
      </c>
      <c r="N45" s="96"/>
      <c r="O45" s="96"/>
      <c r="P45" s="154"/>
      <c r="R45" s="185" t="e">
        <f t="shared" si="0"/>
        <v>#NUM!</v>
      </c>
    </row>
    <row r="46" spans="1:18" s="24" customFormat="1" ht="25.5">
      <c r="A46" s="36">
        <f>+A43+1</f>
        <v>15</v>
      </c>
      <c r="B46" s="136" t="s">
        <v>45</v>
      </c>
      <c r="C46" s="36">
        <v>2021</v>
      </c>
      <c r="D46" s="36">
        <v>30</v>
      </c>
      <c r="E46" s="145">
        <v>0</v>
      </c>
      <c r="F46" s="98">
        <f>E46+D46</f>
        <v>30</v>
      </c>
      <c r="G46" s="132" t="s">
        <v>168</v>
      </c>
      <c r="H46" s="130">
        <v>0.8907</v>
      </c>
      <c r="I46" s="50">
        <v>1.6094</v>
      </c>
      <c r="J46" s="188">
        <v>0.49666677888004873</v>
      </c>
      <c r="K46" s="52">
        <v>491</v>
      </c>
      <c r="L46" s="156"/>
      <c r="M46" s="166" t="s">
        <v>155</v>
      </c>
      <c r="N46" s="167" t="s">
        <v>156</v>
      </c>
      <c r="O46" s="96">
        <v>3.1381</v>
      </c>
      <c r="P46" s="154">
        <f>LOG(O46)</f>
        <v>0.49666677888004873</v>
      </c>
      <c r="R46" s="186">
        <f t="shared" si="0"/>
        <v>0.49666677888004873</v>
      </c>
    </row>
    <row r="47" spans="1:18" s="24" customFormat="1" ht="25.5">
      <c r="A47" s="36"/>
      <c r="B47" s="36"/>
      <c r="C47" s="36" t="s">
        <v>169</v>
      </c>
      <c r="D47" s="36">
        <v>530</v>
      </c>
      <c r="E47" s="145">
        <v>0</v>
      </c>
      <c r="F47" s="98">
        <f>E47+D47</f>
        <v>530</v>
      </c>
      <c r="G47" s="97" t="s">
        <v>170</v>
      </c>
      <c r="H47" s="130">
        <v>0.8397</v>
      </c>
      <c r="I47" s="50">
        <v>1.4365</v>
      </c>
      <c r="J47" s="188">
        <v>0.6174511858367816</v>
      </c>
      <c r="K47" s="52"/>
      <c r="L47" s="56"/>
      <c r="N47" s="96"/>
      <c r="O47" s="96">
        <v>4.1443</v>
      </c>
      <c r="P47" s="154">
        <f>LOG(O47)</f>
        <v>0.6174511858367816</v>
      </c>
      <c r="R47" s="186">
        <f t="shared" si="0"/>
        <v>0.6174511858367816</v>
      </c>
    </row>
    <row r="48" spans="1:18" s="24" customFormat="1" ht="23.25">
      <c r="A48" s="36"/>
      <c r="B48" s="36"/>
      <c r="C48" s="36"/>
      <c r="D48" s="36"/>
      <c r="E48" s="145"/>
      <c r="F48" s="158"/>
      <c r="G48" s="36"/>
      <c r="H48" s="37"/>
      <c r="I48" s="50"/>
      <c r="J48" s="188"/>
      <c r="K48" s="52"/>
      <c r="L48" s="56"/>
      <c r="N48" s="96"/>
      <c r="O48" s="96"/>
      <c r="P48" s="154"/>
      <c r="R48" s="185" t="e">
        <f t="shared" si="0"/>
        <v>#NUM!</v>
      </c>
    </row>
    <row r="49" spans="1:18" s="24" customFormat="1" ht="25.5">
      <c r="A49" s="36">
        <v>16</v>
      </c>
      <c r="B49" s="136" t="s">
        <v>153</v>
      </c>
      <c r="C49" s="36">
        <v>2021</v>
      </c>
      <c r="D49" s="36">
        <v>29</v>
      </c>
      <c r="E49" s="145">
        <v>0</v>
      </c>
      <c r="F49" s="158">
        <f>E49+D49</f>
        <v>29</v>
      </c>
      <c r="G49" s="35" t="s">
        <v>230</v>
      </c>
      <c r="H49" s="37">
        <v>0.7165</v>
      </c>
      <c r="I49" s="50">
        <v>2.0266</v>
      </c>
      <c r="J49" s="189">
        <v>0.003934206173708417</v>
      </c>
      <c r="K49" s="52">
        <v>1653</v>
      </c>
      <c r="L49" s="56"/>
      <c r="M49" s="166" t="s">
        <v>155</v>
      </c>
      <c r="N49" s="167" t="s">
        <v>156</v>
      </c>
      <c r="O49" s="183">
        <v>1.0091</v>
      </c>
      <c r="P49" s="154">
        <f>LOG(O49)</f>
        <v>0.003934206173708417</v>
      </c>
      <c r="R49" s="186">
        <f t="shared" si="0"/>
        <v>0.003934206173708417</v>
      </c>
    </row>
    <row r="50" spans="1:18" s="24" customFormat="1" ht="25.5">
      <c r="A50" s="36"/>
      <c r="B50" s="36"/>
      <c r="C50" s="36" t="s">
        <v>231</v>
      </c>
      <c r="D50" s="36">
        <v>254</v>
      </c>
      <c r="E50" s="145">
        <v>0</v>
      </c>
      <c r="F50" s="158">
        <f>E50+D50</f>
        <v>254</v>
      </c>
      <c r="G50" s="36" t="s">
        <v>171</v>
      </c>
      <c r="H50" s="37">
        <v>0.801</v>
      </c>
      <c r="I50" s="50">
        <v>2.102</v>
      </c>
      <c r="J50" s="51">
        <v>-0.2853350071374631</v>
      </c>
      <c r="K50" s="52"/>
      <c r="L50" s="56"/>
      <c r="N50" s="96"/>
      <c r="O50" s="96">
        <v>0.5184</v>
      </c>
      <c r="P50" s="154">
        <f>LOG(O50)</f>
        <v>-0.2853350071374631</v>
      </c>
      <c r="R50" s="186">
        <f t="shared" si="0"/>
        <v>-0.2853350071374631</v>
      </c>
    </row>
    <row r="51" spans="1:18" s="24" customFormat="1" ht="23.25">
      <c r="A51" s="36"/>
      <c r="B51" s="36"/>
      <c r="C51" s="36"/>
      <c r="D51" s="36"/>
      <c r="E51" s="145"/>
      <c r="F51" s="158"/>
      <c r="G51" s="36"/>
      <c r="H51" s="37"/>
      <c r="I51" s="50"/>
      <c r="J51" s="51"/>
      <c r="K51" s="52"/>
      <c r="L51" s="56"/>
      <c r="N51" s="96"/>
      <c r="O51" s="96"/>
      <c r="P51" s="154"/>
      <c r="R51" s="185" t="e">
        <f t="shared" si="0"/>
        <v>#NUM!</v>
      </c>
    </row>
    <row r="52" spans="1:18" s="24" customFormat="1" ht="25.5">
      <c r="A52" s="36">
        <v>17</v>
      </c>
      <c r="B52" s="136" t="s">
        <v>154</v>
      </c>
      <c r="C52" s="36">
        <v>2021</v>
      </c>
      <c r="D52" s="36">
        <v>27</v>
      </c>
      <c r="E52" s="145">
        <v>2</v>
      </c>
      <c r="F52" s="158">
        <f aca="true" t="shared" si="2" ref="F52:F59">E52+D52</f>
        <v>29</v>
      </c>
      <c r="G52" s="132" t="s">
        <v>243</v>
      </c>
      <c r="H52" s="37">
        <v>0.7318</v>
      </c>
      <c r="I52" s="50">
        <v>1.5162</v>
      </c>
      <c r="J52" s="51">
        <v>0.5364826869271999</v>
      </c>
      <c r="K52" s="52">
        <v>1723</v>
      </c>
      <c r="L52" s="156"/>
      <c r="M52" s="166" t="s">
        <v>155</v>
      </c>
      <c r="N52" s="167" t="s">
        <v>156</v>
      </c>
      <c r="O52" s="159">
        <v>3.4394</v>
      </c>
      <c r="P52" s="189">
        <f>LOG(O52)</f>
        <v>0.5364826869271999</v>
      </c>
      <c r="R52" s="185">
        <f t="shared" si="0"/>
        <v>0.5364826869271999</v>
      </c>
    </row>
    <row r="53" spans="1:18" s="24" customFormat="1" ht="25.5">
      <c r="A53" s="36"/>
      <c r="B53" s="36"/>
      <c r="C53" s="36" t="s">
        <v>172</v>
      </c>
      <c r="D53" s="36">
        <v>226</v>
      </c>
      <c r="E53" s="145">
        <v>2</v>
      </c>
      <c r="F53" s="158">
        <f t="shared" si="2"/>
        <v>228</v>
      </c>
      <c r="G53" s="36" t="s">
        <v>244</v>
      </c>
      <c r="H53" s="37">
        <v>0.7346</v>
      </c>
      <c r="I53" s="50">
        <v>1.9285</v>
      </c>
      <c r="J53" s="51">
        <v>-0.15064201833870106</v>
      </c>
      <c r="K53" s="52"/>
      <c r="L53" s="56"/>
      <c r="N53" s="96"/>
      <c r="O53" s="159">
        <v>0.7069</v>
      </c>
      <c r="P53" s="189">
        <f>LOG(O53)</f>
        <v>-0.15064201833870106</v>
      </c>
      <c r="R53" s="185">
        <f t="shared" si="0"/>
        <v>-0.15064201833870106</v>
      </c>
    </row>
    <row r="54" spans="1:18" s="24" customFormat="1" ht="23.25">
      <c r="A54" s="36"/>
      <c r="B54" s="36"/>
      <c r="C54" s="36"/>
      <c r="D54" s="36"/>
      <c r="E54" s="145"/>
      <c r="F54" s="158"/>
      <c r="G54" s="36"/>
      <c r="H54" s="37"/>
      <c r="I54" s="50"/>
      <c r="J54" s="51"/>
      <c r="K54" s="52"/>
      <c r="L54" s="56"/>
      <c r="N54" s="96"/>
      <c r="O54" s="96"/>
      <c r="P54" s="154"/>
      <c r="R54" s="185" t="e">
        <f t="shared" si="0"/>
        <v>#NUM!</v>
      </c>
    </row>
    <row r="55" spans="1:18" s="24" customFormat="1" ht="25.5">
      <c r="A55" s="36">
        <v>18</v>
      </c>
      <c r="B55" s="137" t="s">
        <v>46</v>
      </c>
      <c r="C55" s="96">
        <v>2021</v>
      </c>
      <c r="D55" s="36">
        <v>28</v>
      </c>
      <c r="E55" s="145">
        <v>7</v>
      </c>
      <c r="F55" s="98">
        <f t="shared" si="2"/>
        <v>35</v>
      </c>
      <c r="G55" s="132" t="s">
        <v>232</v>
      </c>
      <c r="H55" s="130">
        <v>0.7187</v>
      </c>
      <c r="I55" s="50">
        <v>0.8832</v>
      </c>
      <c r="J55" s="189">
        <v>-0.5939710550363849</v>
      </c>
      <c r="K55" s="52">
        <v>3478</v>
      </c>
      <c r="L55" s="56"/>
      <c r="M55" s="166" t="s">
        <v>155</v>
      </c>
      <c r="N55" s="167" t="s">
        <v>156</v>
      </c>
      <c r="O55" s="96">
        <v>0.2547</v>
      </c>
      <c r="P55" s="154">
        <f>LOG(O55)</f>
        <v>-0.5939710550363849</v>
      </c>
      <c r="R55" s="186">
        <f t="shared" si="0"/>
        <v>-0.5939710550363849</v>
      </c>
    </row>
    <row r="56" spans="1:18" s="24" customFormat="1" ht="25.5">
      <c r="A56" s="36"/>
      <c r="B56" s="36"/>
      <c r="C56" s="36" t="s">
        <v>173</v>
      </c>
      <c r="D56" s="36">
        <v>448</v>
      </c>
      <c r="E56" s="145">
        <v>7</v>
      </c>
      <c r="F56" s="98">
        <f t="shared" si="2"/>
        <v>455</v>
      </c>
      <c r="G56" s="97" t="s">
        <v>233</v>
      </c>
      <c r="H56" s="168">
        <v>0.7984</v>
      </c>
      <c r="I56" s="50">
        <v>1.6249</v>
      </c>
      <c r="J56" s="189">
        <v>-0.16316971351112114</v>
      </c>
      <c r="K56" s="52"/>
      <c r="L56" s="56"/>
      <c r="N56" s="96"/>
      <c r="O56" s="96">
        <v>0.6868</v>
      </c>
      <c r="P56" s="154">
        <f>LOG(O56)</f>
        <v>-0.16316971351112114</v>
      </c>
      <c r="R56" s="186">
        <f t="shared" si="0"/>
        <v>-0.16316971351112114</v>
      </c>
    </row>
    <row r="57" spans="1:18" s="24" customFormat="1" ht="23.25">
      <c r="A57" s="36"/>
      <c r="B57" s="36"/>
      <c r="C57" s="36"/>
      <c r="D57" s="36"/>
      <c r="E57" s="145"/>
      <c r="F57" s="158"/>
      <c r="G57" s="36"/>
      <c r="H57" s="37"/>
      <c r="I57" s="50"/>
      <c r="J57" s="51"/>
      <c r="K57" s="52"/>
      <c r="L57" s="56"/>
      <c r="N57" s="96"/>
      <c r="O57" s="96"/>
      <c r="P57" s="154"/>
      <c r="R57" s="185" t="e">
        <f t="shared" si="0"/>
        <v>#NUM!</v>
      </c>
    </row>
    <row r="58" spans="1:18" s="24" customFormat="1" ht="25.5">
      <c r="A58" s="36">
        <f>+A55+1</f>
        <v>19</v>
      </c>
      <c r="B58" s="137" t="s">
        <v>16</v>
      </c>
      <c r="C58" s="96">
        <v>2021</v>
      </c>
      <c r="D58" s="36">
        <v>26</v>
      </c>
      <c r="E58" s="145">
        <v>2</v>
      </c>
      <c r="F58" s="158">
        <f t="shared" si="2"/>
        <v>28</v>
      </c>
      <c r="G58" s="35" t="s">
        <v>176</v>
      </c>
      <c r="H58" s="37">
        <v>0.8734</v>
      </c>
      <c r="I58" s="50">
        <v>1.9632</v>
      </c>
      <c r="J58" s="51">
        <v>-0.8507808873446201</v>
      </c>
      <c r="K58" s="52">
        <v>8924</v>
      </c>
      <c r="L58" s="56"/>
      <c r="M58" s="166" t="s">
        <v>155</v>
      </c>
      <c r="N58" s="167" t="s">
        <v>156</v>
      </c>
      <c r="O58" s="183">
        <v>0.141</v>
      </c>
      <c r="P58" s="154">
        <f>LOG(O58)</f>
        <v>-0.8507808873446201</v>
      </c>
      <c r="R58" s="186">
        <f t="shared" si="0"/>
        <v>-0.8507808873446201</v>
      </c>
    </row>
    <row r="59" spans="1:18" s="24" customFormat="1" ht="25.5">
      <c r="A59" s="36"/>
      <c r="B59" s="36"/>
      <c r="C59" s="36" t="s">
        <v>161</v>
      </c>
      <c r="D59" s="36">
        <v>444</v>
      </c>
      <c r="E59" s="145">
        <v>2</v>
      </c>
      <c r="F59" s="158">
        <f t="shared" si="2"/>
        <v>446</v>
      </c>
      <c r="G59" s="97" t="s">
        <v>177</v>
      </c>
      <c r="H59" s="37">
        <v>0.8604</v>
      </c>
      <c r="I59" s="50">
        <v>1.6645</v>
      </c>
      <c r="J59" s="51">
        <v>-0.3921162556430101</v>
      </c>
      <c r="K59" s="52"/>
      <c r="L59" s="56"/>
      <c r="N59" s="96"/>
      <c r="O59" s="96">
        <v>0.4054</v>
      </c>
      <c r="P59" s="154">
        <f>LOG(O59)</f>
        <v>-0.3921162556430101</v>
      </c>
      <c r="R59" s="186">
        <f t="shared" si="0"/>
        <v>-0.3921162556430101</v>
      </c>
    </row>
    <row r="60" spans="1:18" s="24" customFormat="1" ht="23.25">
      <c r="A60" s="36"/>
      <c r="B60" s="36"/>
      <c r="C60" s="36"/>
      <c r="D60" s="36"/>
      <c r="E60" s="145"/>
      <c r="F60" s="158"/>
      <c r="G60" s="36"/>
      <c r="H60" s="37"/>
      <c r="I60" s="50"/>
      <c r="J60" s="51"/>
      <c r="K60" s="52"/>
      <c r="L60" s="56"/>
      <c r="N60" s="96"/>
      <c r="O60" s="96"/>
      <c r="P60" s="154"/>
      <c r="R60" s="185" t="e">
        <f t="shared" si="0"/>
        <v>#NUM!</v>
      </c>
    </row>
    <row r="61" spans="1:18" s="24" customFormat="1" ht="25.5">
      <c r="A61" s="36">
        <f>+A58+1</f>
        <v>20</v>
      </c>
      <c r="B61" s="137" t="s">
        <v>24</v>
      </c>
      <c r="C61" s="36">
        <v>2021</v>
      </c>
      <c r="D61" s="36">
        <v>25</v>
      </c>
      <c r="E61" s="145">
        <v>6</v>
      </c>
      <c r="F61" s="158">
        <f>E61+D61</f>
        <v>31</v>
      </c>
      <c r="G61" s="35" t="s">
        <v>234</v>
      </c>
      <c r="H61" s="37">
        <v>0.7561</v>
      </c>
      <c r="I61" s="50">
        <v>1.3384</v>
      </c>
      <c r="J61" s="51">
        <v>0.08568294319461502</v>
      </c>
      <c r="K61" s="52">
        <v>1392</v>
      </c>
      <c r="L61" s="156"/>
      <c r="M61" s="166" t="s">
        <v>155</v>
      </c>
      <c r="N61" s="167" t="s">
        <v>156</v>
      </c>
      <c r="O61" s="96">
        <v>1.2181</v>
      </c>
      <c r="P61" s="154">
        <f>LOG(O61)</f>
        <v>0.08568294319461502</v>
      </c>
      <c r="R61" s="186">
        <f t="shared" si="0"/>
        <v>0.08568294319461502</v>
      </c>
    </row>
    <row r="62" spans="1:18" s="24" customFormat="1" ht="25.5">
      <c r="A62" s="36"/>
      <c r="B62" s="36"/>
      <c r="C62" s="36" t="s">
        <v>162</v>
      </c>
      <c r="D62" s="36">
        <v>583</v>
      </c>
      <c r="E62" s="145">
        <v>6</v>
      </c>
      <c r="F62" s="158">
        <f>E62+D62</f>
        <v>589</v>
      </c>
      <c r="G62" s="36" t="s">
        <v>235</v>
      </c>
      <c r="H62" s="37">
        <v>0.6851</v>
      </c>
      <c r="I62" s="50">
        <v>1.3572</v>
      </c>
      <c r="J62" s="51">
        <v>0.12859310691870485</v>
      </c>
      <c r="K62" s="52"/>
      <c r="L62" s="56"/>
      <c r="N62" s="96"/>
      <c r="O62" s="96">
        <v>1.3446</v>
      </c>
      <c r="P62" s="154">
        <f>LOG(O62)</f>
        <v>0.12859310691870485</v>
      </c>
      <c r="R62" s="186">
        <f t="shared" si="0"/>
        <v>0.12859310691870485</v>
      </c>
    </row>
    <row r="63" spans="1:18" s="24" customFormat="1" ht="23.25">
      <c r="A63" s="36"/>
      <c r="B63" s="36"/>
      <c r="C63" s="36"/>
      <c r="D63" s="36"/>
      <c r="E63" s="145"/>
      <c r="F63" s="158"/>
      <c r="G63" s="36"/>
      <c r="H63" s="37"/>
      <c r="I63" s="50"/>
      <c r="J63" s="51"/>
      <c r="K63" s="52"/>
      <c r="L63" s="56"/>
      <c r="N63" s="96"/>
      <c r="O63" s="96"/>
      <c r="P63" s="154"/>
      <c r="R63" s="185" t="e">
        <f t="shared" si="0"/>
        <v>#NUM!</v>
      </c>
    </row>
    <row r="64" spans="1:18" s="24" customFormat="1" ht="25.5">
      <c r="A64" s="36">
        <v>21</v>
      </c>
      <c r="B64" s="136" t="s">
        <v>17</v>
      </c>
      <c r="C64" s="36">
        <v>2021</v>
      </c>
      <c r="D64" s="36">
        <v>30</v>
      </c>
      <c r="E64" s="145">
        <v>1</v>
      </c>
      <c r="F64" s="158">
        <f>E64+D64</f>
        <v>31</v>
      </c>
      <c r="G64" s="35" t="s">
        <v>236</v>
      </c>
      <c r="H64" s="37">
        <v>0.7062</v>
      </c>
      <c r="I64" s="50">
        <v>1.4643</v>
      </c>
      <c r="J64" s="51">
        <v>0.1357049701267252</v>
      </c>
      <c r="K64" s="52">
        <v>726</v>
      </c>
      <c r="L64" s="156"/>
      <c r="M64" s="166" t="s">
        <v>155</v>
      </c>
      <c r="N64" s="167" t="s">
        <v>156</v>
      </c>
      <c r="O64" s="96">
        <v>1.3668</v>
      </c>
      <c r="P64" s="154">
        <f>LOG(O64)</f>
        <v>0.1357049701267252</v>
      </c>
      <c r="R64" s="186">
        <f t="shared" si="0"/>
        <v>0.1357049701267252</v>
      </c>
    </row>
    <row r="65" spans="1:18" s="24" customFormat="1" ht="25.5">
      <c r="A65" s="36"/>
      <c r="B65" s="36"/>
      <c r="C65" s="36" t="s">
        <v>174</v>
      </c>
      <c r="D65" s="36">
        <v>721</v>
      </c>
      <c r="E65" s="145">
        <v>1</v>
      </c>
      <c r="F65" s="158">
        <f>E65+D65</f>
        <v>722</v>
      </c>
      <c r="G65" s="97" t="s">
        <v>237</v>
      </c>
      <c r="H65" s="130">
        <v>0.8351</v>
      </c>
      <c r="I65" s="131">
        <v>1.5668</v>
      </c>
      <c r="J65" s="189">
        <v>0.3393122857712596</v>
      </c>
      <c r="K65" s="52"/>
      <c r="L65" s="56"/>
      <c r="N65" s="96"/>
      <c r="O65" s="183">
        <v>2.1843</v>
      </c>
      <c r="P65" s="154">
        <f>LOG(O65)</f>
        <v>0.3393122857712596</v>
      </c>
      <c r="R65" s="186">
        <f t="shared" si="0"/>
        <v>0.3393122857712596</v>
      </c>
    </row>
    <row r="66" spans="1:18" s="24" customFormat="1" ht="23.25">
      <c r="A66" s="36"/>
      <c r="B66" s="36"/>
      <c r="C66" s="36"/>
      <c r="D66" s="36"/>
      <c r="E66" s="145"/>
      <c r="F66" s="158"/>
      <c r="G66" s="36"/>
      <c r="H66" s="37"/>
      <c r="I66" s="50"/>
      <c r="J66" s="51"/>
      <c r="K66" s="52"/>
      <c r="L66" s="56"/>
      <c r="N66" s="96"/>
      <c r="O66" s="96"/>
      <c r="P66" s="154"/>
      <c r="R66" s="185" t="e">
        <f t="shared" si="0"/>
        <v>#NUM!</v>
      </c>
    </row>
    <row r="67" spans="1:18" s="24" customFormat="1" ht="25.5">
      <c r="A67" s="57">
        <v>22</v>
      </c>
      <c r="B67" s="137" t="s">
        <v>53</v>
      </c>
      <c r="C67" s="36">
        <v>2021</v>
      </c>
      <c r="D67" s="36">
        <v>28</v>
      </c>
      <c r="E67" s="145">
        <v>0</v>
      </c>
      <c r="F67" s="158">
        <f>E67+D67</f>
        <v>28</v>
      </c>
      <c r="G67" s="35" t="s">
        <v>178</v>
      </c>
      <c r="H67" s="37">
        <v>0.93</v>
      </c>
      <c r="I67" s="50">
        <v>1.4494</v>
      </c>
      <c r="J67" s="51">
        <v>0.6971595709735761</v>
      </c>
      <c r="K67" s="52">
        <v>762</v>
      </c>
      <c r="L67" s="53"/>
      <c r="M67" s="166" t="s">
        <v>155</v>
      </c>
      <c r="N67" s="167" t="s">
        <v>156</v>
      </c>
      <c r="O67" s="96">
        <v>4.9792</v>
      </c>
      <c r="P67" s="154">
        <f>LOG(O67)</f>
        <v>0.6971595709735761</v>
      </c>
      <c r="R67" s="186">
        <f t="shared" si="0"/>
        <v>0.6971595709735761</v>
      </c>
    </row>
    <row r="68" spans="1:18" s="24" customFormat="1" ht="25.5">
      <c r="A68" s="57"/>
      <c r="B68" s="36"/>
      <c r="C68" s="36" t="s">
        <v>175</v>
      </c>
      <c r="D68" s="36">
        <v>371</v>
      </c>
      <c r="E68" s="145">
        <v>0</v>
      </c>
      <c r="F68" s="158">
        <f>E68+D68</f>
        <v>371</v>
      </c>
      <c r="G68" s="36" t="s">
        <v>179</v>
      </c>
      <c r="H68" s="37">
        <v>0.9016</v>
      </c>
      <c r="I68" s="50">
        <v>1.4421</v>
      </c>
      <c r="J68" s="51">
        <v>0.5986154409613277</v>
      </c>
      <c r="K68" s="52"/>
      <c r="L68" s="53"/>
      <c r="N68" s="96"/>
      <c r="O68" s="96">
        <v>3.9684</v>
      </c>
      <c r="P68" s="154">
        <f>LOG(O68)</f>
        <v>0.5986154409613277</v>
      </c>
      <c r="R68" s="186">
        <f t="shared" si="0"/>
        <v>0.5986154409613277</v>
      </c>
    </row>
    <row r="69" spans="1:18" s="24" customFormat="1" ht="23.25">
      <c r="A69" s="57"/>
      <c r="B69" s="36"/>
      <c r="C69" s="36"/>
      <c r="D69" s="36"/>
      <c r="E69" s="145"/>
      <c r="F69" s="158"/>
      <c r="G69" s="36"/>
      <c r="H69" s="37"/>
      <c r="I69" s="50"/>
      <c r="J69" s="51"/>
      <c r="K69" s="52"/>
      <c r="L69" s="53"/>
      <c r="N69" s="96"/>
      <c r="O69" s="96"/>
      <c r="P69" s="154"/>
      <c r="R69" s="185" t="e">
        <f aca="true" t="shared" si="3" ref="R69:R108">LOG(O69)</f>
        <v>#NUM!</v>
      </c>
    </row>
    <row r="70" spans="1:18" s="28" customFormat="1" ht="22.5" customHeight="1">
      <c r="A70" s="57">
        <v>23</v>
      </c>
      <c r="B70" s="136" t="s">
        <v>18</v>
      </c>
      <c r="C70" s="36">
        <v>2021</v>
      </c>
      <c r="D70" s="36">
        <v>39</v>
      </c>
      <c r="E70" s="145">
        <v>0</v>
      </c>
      <c r="F70" s="158">
        <f aca="true" t="shared" si="4" ref="F70:F80">E70+D70</f>
        <v>39</v>
      </c>
      <c r="G70" s="132" t="s">
        <v>189</v>
      </c>
      <c r="H70" s="130">
        <v>0.8776</v>
      </c>
      <c r="I70" s="50">
        <v>1.7653</v>
      </c>
      <c r="J70" s="51">
        <v>-0.1802587027269896</v>
      </c>
      <c r="K70" s="52">
        <v>7749</v>
      </c>
      <c r="L70" s="156"/>
      <c r="M70" s="166" t="s">
        <v>155</v>
      </c>
      <c r="N70" s="167" t="s">
        <v>156</v>
      </c>
      <c r="O70" s="184">
        <v>0.6603</v>
      </c>
      <c r="P70" s="154">
        <f>LOG(O70)</f>
        <v>-0.1802587027269896</v>
      </c>
      <c r="R70" s="186">
        <f t="shared" si="3"/>
        <v>-0.1802587027269896</v>
      </c>
    </row>
    <row r="71" spans="1:18" s="28" customFormat="1" ht="22.5" customHeight="1">
      <c r="A71" s="57"/>
      <c r="B71" s="36"/>
      <c r="C71" s="36" t="s">
        <v>190</v>
      </c>
      <c r="D71" s="36">
        <v>774</v>
      </c>
      <c r="E71" s="145">
        <v>0</v>
      </c>
      <c r="F71" s="158">
        <f t="shared" si="4"/>
        <v>774</v>
      </c>
      <c r="G71" s="97" t="s">
        <v>191</v>
      </c>
      <c r="H71" s="130">
        <v>0.9224</v>
      </c>
      <c r="I71" s="50">
        <v>1.5128</v>
      </c>
      <c r="J71" s="51">
        <v>0.1952629583420616</v>
      </c>
      <c r="K71" s="52"/>
      <c r="L71" s="63"/>
      <c r="N71" s="153"/>
      <c r="O71" s="153">
        <v>1.5677</v>
      </c>
      <c r="P71" s="154">
        <f>LOG(O71)</f>
        <v>0.1952629583420616</v>
      </c>
      <c r="R71" s="187">
        <f t="shared" si="3"/>
        <v>0.1952629583420616</v>
      </c>
    </row>
    <row r="72" spans="1:18" s="28" customFormat="1" ht="22.5" customHeight="1">
      <c r="A72" s="64"/>
      <c r="B72" s="36"/>
      <c r="C72" s="36"/>
      <c r="D72" s="36"/>
      <c r="E72" s="145"/>
      <c r="F72" s="158"/>
      <c r="G72" s="36"/>
      <c r="H72" s="37"/>
      <c r="I72" s="50"/>
      <c r="J72" s="51"/>
      <c r="K72" s="52"/>
      <c r="L72" s="63"/>
      <c r="N72" s="153"/>
      <c r="O72" s="153"/>
      <c r="P72" s="154"/>
      <c r="R72" s="185" t="e">
        <f t="shared" si="3"/>
        <v>#NUM!</v>
      </c>
    </row>
    <row r="73" spans="1:18" s="28" customFormat="1" ht="22.5" customHeight="1">
      <c r="A73" s="57">
        <v>24</v>
      </c>
      <c r="B73" s="139" t="s">
        <v>47</v>
      </c>
      <c r="C73" s="57">
        <v>2021</v>
      </c>
      <c r="D73" s="57">
        <v>32</v>
      </c>
      <c r="E73" s="149">
        <v>0</v>
      </c>
      <c r="F73" s="158">
        <f t="shared" si="4"/>
        <v>32</v>
      </c>
      <c r="G73" s="132" t="s">
        <v>192</v>
      </c>
      <c r="H73" s="169">
        <v>0.879</v>
      </c>
      <c r="I73" s="60">
        <v>1.7103</v>
      </c>
      <c r="J73" s="51">
        <v>0.10836203495517166</v>
      </c>
      <c r="K73" s="62">
        <v>5394</v>
      </c>
      <c r="L73" s="156"/>
      <c r="M73" s="166" t="s">
        <v>155</v>
      </c>
      <c r="N73" s="167" t="s">
        <v>156</v>
      </c>
      <c r="O73" s="153">
        <v>1.2834</v>
      </c>
      <c r="P73" s="154">
        <f>LOG(O73)</f>
        <v>0.10836203495517166</v>
      </c>
      <c r="R73" s="186">
        <f t="shared" si="3"/>
        <v>0.10836203495517166</v>
      </c>
    </row>
    <row r="74" spans="1:18" s="28" customFormat="1" ht="22.5" customHeight="1">
      <c r="A74" s="57"/>
      <c r="B74" s="57"/>
      <c r="C74" s="57" t="s">
        <v>193</v>
      </c>
      <c r="D74" s="57">
        <v>494</v>
      </c>
      <c r="E74" s="149">
        <v>0</v>
      </c>
      <c r="F74" s="158">
        <f t="shared" si="4"/>
        <v>494</v>
      </c>
      <c r="G74" s="97" t="s">
        <v>194</v>
      </c>
      <c r="H74" s="130">
        <v>0.862</v>
      </c>
      <c r="I74" s="60">
        <v>1.7044</v>
      </c>
      <c r="J74" s="51">
        <v>-0.07639335698254088</v>
      </c>
      <c r="K74" s="62"/>
      <c r="L74" s="63"/>
      <c r="N74" s="153"/>
      <c r="O74" s="153">
        <v>0.8387</v>
      </c>
      <c r="P74" s="154">
        <f>LOG(O74)</f>
        <v>-0.07639335698254088</v>
      </c>
      <c r="R74" s="186">
        <f t="shared" si="3"/>
        <v>-0.07639335698254088</v>
      </c>
    </row>
    <row r="75" spans="1:18" s="28" customFormat="1" ht="22.5" customHeight="1">
      <c r="A75" s="57"/>
      <c r="B75" s="57"/>
      <c r="C75" s="57"/>
      <c r="D75" s="57"/>
      <c r="E75" s="149"/>
      <c r="F75" s="158"/>
      <c r="G75" s="57"/>
      <c r="H75" s="59"/>
      <c r="I75" s="60"/>
      <c r="J75" s="51"/>
      <c r="K75" s="62"/>
      <c r="L75" s="133"/>
      <c r="N75" s="153"/>
      <c r="O75" s="153"/>
      <c r="P75" s="154"/>
      <c r="R75" s="185" t="e">
        <f t="shared" si="3"/>
        <v>#NUM!</v>
      </c>
    </row>
    <row r="76" spans="1:18" s="28" customFormat="1" ht="22.5" customHeight="1">
      <c r="A76" s="57">
        <v>25</v>
      </c>
      <c r="B76" s="139" t="s">
        <v>60</v>
      </c>
      <c r="C76" s="57">
        <v>2021</v>
      </c>
      <c r="D76" s="57">
        <v>26</v>
      </c>
      <c r="E76" s="149">
        <v>1</v>
      </c>
      <c r="F76" s="98">
        <f t="shared" si="4"/>
        <v>27</v>
      </c>
      <c r="G76" s="132" t="s">
        <v>245</v>
      </c>
      <c r="H76" s="130">
        <v>0.746</v>
      </c>
      <c r="I76" s="60">
        <v>1.7955</v>
      </c>
      <c r="J76" s="51">
        <v>0.36986495785622897</v>
      </c>
      <c r="K76" s="62">
        <v>590</v>
      </c>
      <c r="L76" s="156"/>
      <c r="M76" s="166" t="s">
        <v>155</v>
      </c>
      <c r="N76" s="167" t="s">
        <v>156</v>
      </c>
      <c r="O76" s="184">
        <v>2.3435</v>
      </c>
      <c r="P76" s="154">
        <f>LOG(O76)</f>
        <v>0.36986495785622897</v>
      </c>
      <c r="R76" s="186">
        <f t="shared" si="3"/>
        <v>0.36986495785622897</v>
      </c>
    </row>
    <row r="77" spans="1:18" s="28" customFormat="1" ht="22.5" customHeight="1">
      <c r="A77" s="57"/>
      <c r="B77" s="57"/>
      <c r="C77" s="57" t="s">
        <v>195</v>
      </c>
      <c r="D77" s="57">
        <v>143</v>
      </c>
      <c r="E77" s="149">
        <v>1</v>
      </c>
      <c r="F77" s="98">
        <f t="shared" si="4"/>
        <v>144</v>
      </c>
      <c r="G77" s="97" t="s">
        <v>196</v>
      </c>
      <c r="H77" s="59">
        <v>0.8469</v>
      </c>
      <c r="I77" s="60">
        <v>1.6681</v>
      </c>
      <c r="J77" s="51">
        <v>0.5069107255515181</v>
      </c>
      <c r="K77" s="62"/>
      <c r="L77" s="156"/>
      <c r="N77" s="153"/>
      <c r="O77" s="184">
        <v>3.213</v>
      </c>
      <c r="P77" s="154">
        <f>LOG(O77)</f>
        <v>0.5069107255515181</v>
      </c>
      <c r="R77" s="186">
        <f t="shared" si="3"/>
        <v>0.5069107255515181</v>
      </c>
    </row>
    <row r="78" spans="1:18" s="28" customFormat="1" ht="22.5" customHeight="1">
      <c r="A78" s="57"/>
      <c r="B78" s="57"/>
      <c r="C78" s="57"/>
      <c r="D78" s="57"/>
      <c r="E78" s="149"/>
      <c r="F78" s="158"/>
      <c r="G78" s="57"/>
      <c r="H78" s="59"/>
      <c r="I78" s="60"/>
      <c r="J78" s="51"/>
      <c r="K78" s="62"/>
      <c r="L78" s="63"/>
      <c r="N78" s="153"/>
      <c r="O78" s="153"/>
      <c r="P78" s="154"/>
      <c r="R78" s="185" t="e">
        <f t="shared" si="3"/>
        <v>#NUM!</v>
      </c>
    </row>
    <row r="79" spans="1:18" s="28" customFormat="1" ht="22.5" customHeight="1">
      <c r="A79" s="57">
        <v>26</v>
      </c>
      <c r="B79" s="139" t="s">
        <v>48</v>
      </c>
      <c r="C79" s="57">
        <v>2021</v>
      </c>
      <c r="D79" s="57">
        <v>30</v>
      </c>
      <c r="E79" s="149">
        <v>0</v>
      </c>
      <c r="F79" s="158">
        <f t="shared" si="4"/>
        <v>30</v>
      </c>
      <c r="G79" s="132" t="s">
        <v>197</v>
      </c>
      <c r="H79" s="130">
        <v>0.8381</v>
      </c>
      <c r="I79" s="60">
        <v>1.6434</v>
      </c>
      <c r="J79" s="51">
        <v>-0.37294153599901037</v>
      </c>
      <c r="K79" s="62">
        <v>10305</v>
      </c>
      <c r="L79" s="156"/>
      <c r="M79" s="166" t="s">
        <v>155</v>
      </c>
      <c r="N79" s="167" t="s">
        <v>156</v>
      </c>
      <c r="O79" s="153">
        <v>0.4237</v>
      </c>
      <c r="P79" s="154">
        <f>LOG(O79)</f>
        <v>-0.37294153599901037</v>
      </c>
      <c r="R79" s="186">
        <f t="shared" si="3"/>
        <v>-0.37294153599901037</v>
      </c>
    </row>
    <row r="80" spans="1:18" s="28" customFormat="1" ht="22.5" customHeight="1">
      <c r="A80" s="72"/>
      <c r="B80" s="57"/>
      <c r="C80" s="57" t="s">
        <v>161</v>
      </c>
      <c r="D80" s="57">
        <v>455</v>
      </c>
      <c r="E80" s="149">
        <v>0</v>
      </c>
      <c r="F80" s="158">
        <f t="shared" si="4"/>
        <v>455</v>
      </c>
      <c r="G80" s="97" t="s">
        <v>198</v>
      </c>
      <c r="H80" s="130">
        <v>0.8506</v>
      </c>
      <c r="I80" s="60">
        <v>1.5776</v>
      </c>
      <c r="J80" s="51">
        <v>-0.13632033212410213</v>
      </c>
      <c r="K80" s="62"/>
      <c r="L80" s="63"/>
      <c r="N80" s="153"/>
      <c r="O80" s="184">
        <v>0.7306</v>
      </c>
      <c r="P80" s="154">
        <f>LOG(O80)</f>
        <v>-0.13632033212410213</v>
      </c>
      <c r="R80" s="186">
        <f t="shared" si="3"/>
        <v>-0.13632033212410213</v>
      </c>
    </row>
    <row r="81" spans="1:18" s="28" customFormat="1" ht="22.5" customHeight="1">
      <c r="A81" s="57"/>
      <c r="B81" s="64"/>
      <c r="C81" s="64"/>
      <c r="D81" s="64"/>
      <c r="E81" s="150"/>
      <c r="F81" s="158"/>
      <c r="G81" s="64"/>
      <c r="H81" s="67"/>
      <c r="I81" s="68"/>
      <c r="J81" s="69"/>
      <c r="K81" s="70"/>
      <c r="L81" s="63"/>
      <c r="N81" s="153"/>
      <c r="O81" s="153"/>
      <c r="P81" s="154"/>
      <c r="R81" s="185" t="e">
        <f t="shared" si="3"/>
        <v>#NUM!</v>
      </c>
    </row>
    <row r="82" spans="1:18" s="28" customFormat="1" ht="22.5" customHeight="1">
      <c r="A82" s="72">
        <v>27</v>
      </c>
      <c r="B82" s="139" t="s">
        <v>61</v>
      </c>
      <c r="C82" s="57">
        <v>2021</v>
      </c>
      <c r="D82" s="57">
        <v>23</v>
      </c>
      <c r="E82" s="149">
        <v>1</v>
      </c>
      <c r="F82" s="158">
        <f aca="true" t="shared" si="5" ref="F82:F108">E82+D82</f>
        <v>24</v>
      </c>
      <c r="G82" s="38" t="s">
        <v>222</v>
      </c>
      <c r="H82" s="59">
        <v>0.7784</v>
      </c>
      <c r="I82" s="60">
        <v>1.461</v>
      </c>
      <c r="J82" s="61">
        <v>0.3742349521525766</v>
      </c>
      <c r="K82" s="62">
        <v>124</v>
      </c>
      <c r="L82" s="71"/>
      <c r="M82" s="166" t="s">
        <v>155</v>
      </c>
      <c r="N82" s="167" t="s">
        <v>156</v>
      </c>
      <c r="O82" s="153">
        <v>2.3672</v>
      </c>
      <c r="P82" s="154">
        <f>LOG(O82)</f>
        <v>0.3742349521525766</v>
      </c>
      <c r="R82" s="186">
        <f t="shared" si="3"/>
        <v>0.3742349521525766</v>
      </c>
    </row>
    <row r="83" spans="1:18" s="28" customFormat="1" ht="22.5" customHeight="1">
      <c r="A83" s="72"/>
      <c r="B83" s="57"/>
      <c r="C83" s="57" t="s">
        <v>200</v>
      </c>
      <c r="D83" s="57">
        <v>83</v>
      </c>
      <c r="E83" s="149">
        <v>1</v>
      </c>
      <c r="F83" s="158">
        <f t="shared" si="5"/>
        <v>84</v>
      </c>
      <c r="G83" s="57" t="s">
        <v>238</v>
      </c>
      <c r="H83" s="59">
        <v>0.7187</v>
      </c>
      <c r="I83" s="60">
        <v>1.3531</v>
      </c>
      <c r="J83" s="61">
        <v>0.3024175191506225</v>
      </c>
      <c r="K83" s="62"/>
      <c r="L83" s="63"/>
      <c r="N83" s="153"/>
      <c r="O83" s="153">
        <v>2.0064</v>
      </c>
      <c r="P83" s="154">
        <f>LOG(O83)</f>
        <v>0.3024175191506225</v>
      </c>
      <c r="R83" s="186">
        <f t="shared" si="3"/>
        <v>0.3024175191506225</v>
      </c>
    </row>
    <row r="84" spans="1:18" s="28" customFormat="1" ht="22.5" customHeight="1">
      <c r="A84" s="57"/>
      <c r="B84" s="64"/>
      <c r="C84" s="64"/>
      <c r="D84" s="64"/>
      <c r="E84" s="150"/>
      <c r="F84" s="158"/>
      <c r="G84" s="64"/>
      <c r="H84" s="67"/>
      <c r="I84" s="68"/>
      <c r="J84" s="69"/>
      <c r="K84" s="70"/>
      <c r="L84" s="63"/>
      <c r="N84" s="153"/>
      <c r="O84" s="153"/>
      <c r="P84" s="155"/>
      <c r="R84" s="185" t="e">
        <f t="shared" si="3"/>
        <v>#NUM!</v>
      </c>
    </row>
    <row r="85" spans="1:18" s="28" customFormat="1" ht="22.5" customHeight="1">
      <c r="A85" s="57">
        <v>28</v>
      </c>
      <c r="B85" s="139" t="s">
        <v>49</v>
      </c>
      <c r="C85" s="57">
        <v>2021</v>
      </c>
      <c r="D85" s="57">
        <v>34</v>
      </c>
      <c r="E85" s="149">
        <v>0</v>
      </c>
      <c r="F85" s="158">
        <f t="shared" si="5"/>
        <v>34</v>
      </c>
      <c r="G85" s="38" t="s">
        <v>239</v>
      </c>
      <c r="H85" s="59">
        <v>0.8861</v>
      </c>
      <c r="I85" s="60">
        <v>1.9124</v>
      </c>
      <c r="J85" s="61">
        <v>-0.7332980331159121</v>
      </c>
      <c r="K85" s="62">
        <v>4560</v>
      </c>
      <c r="L85" s="156"/>
      <c r="M85" s="166" t="s">
        <v>155</v>
      </c>
      <c r="N85" s="167" t="s">
        <v>156</v>
      </c>
      <c r="O85" s="153">
        <v>0.1848</v>
      </c>
      <c r="P85" s="155">
        <f>LOG(O85)</f>
        <v>-0.7332980331159121</v>
      </c>
      <c r="R85" s="186">
        <f t="shared" si="3"/>
        <v>-0.7332980331159121</v>
      </c>
    </row>
    <row r="86" spans="1:18" s="28" customFormat="1" ht="22.5" customHeight="1">
      <c r="A86" s="57"/>
      <c r="B86" s="57"/>
      <c r="C86" s="57" t="s">
        <v>199</v>
      </c>
      <c r="D86" s="57">
        <v>494</v>
      </c>
      <c r="E86" s="149">
        <v>0</v>
      </c>
      <c r="F86" s="158">
        <f t="shared" si="5"/>
        <v>494</v>
      </c>
      <c r="G86" s="142" t="s">
        <v>201</v>
      </c>
      <c r="H86" s="104">
        <v>0.839</v>
      </c>
      <c r="I86" s="105">
        <v>1.8671</v>
      </c>
      <c r="J86" s="106">
        <v>-0.6869768896767618</v>
      </c>
      <c r="K86" s="70"/>
      <c r="L86" s="156"/>
      <c r="N86" s="153"/>
      <c r="O86" s="153">
        <v>0.2056</v>
      </c>
      <c r="P86" s="155">
        <f>LOG(O86)</f>
        <v>-0.6869768896767618</v>
      </c>
      <c r="R86" s="186">
        <f t="shared" si="3"/>
        <v>-0.6869768896767618</v>
      </c>
    </row>
    <row r="87" spans="1:18" s="28" customFormat="1" ht="22.5" customHeight="1">
      <c r="A87" s="72"/>
      <c r="B87" s="57"/>
      <c r="C87" s="57"/>
      <c r="D87" s="57"/>
      <c r="E87" s="149"/>
      <c r="F87" s="158"/>
      <c r="G87" s="57"/>
      <c r="H87" s="59"/>
      <c r="I87" s="60"/>
      <c r="J87" s="61"/>
      <c r="K87" s="62"/>
      <c r="L87" s="63"/>
      <c r="N87" s="153"/>
      <c r="O87" s="153"/>
      <c r="P87" s="155"/>
      <c r="R87" s="185" t="e">
        <f t="shared" si="3"/>
        <v>#NUM!</v>
      </c>
    </row>
    <row r="88" spans="1:18" s="28" customFormat="1" ht="22.5" customHeight="1">
      <c r="A88" s="57">
        <v>29</v>
      </c>
      <c r="B88" s="140" t="s">
        <v>50</v>
      </c>
      <c r="C88" s="72">
        <v>2021</v>
      </c>
      <c r="D88" s="72">
        <v>34</v>
      </c>
      <c r="E88" s="151">
        <v>0</v>
      </c>
      <c r="F88" s="158">
        <f t="shared" si="5"/>
        <v>34</v>
      </c>
      <c r="G88" s="39" t="s">
        <v>202</v>
      </c>
      <c r="H88" s="74">
        <v>0.8946</v>
      </c>
      <c r="I88" s="75">
        <v>1.8738</v>
      </c>
      <c r="J88" s="76">
        <v>-0.5091990479891451</v>
      </c>
      <c r="K88" s="77">
        <v>3476</v>
      </c>
      <c r="L88" s="156"/>
      <c r="M88" s="166" t="s">
        <v>155</v>
      </c>
      <c r="N88" s="167" t="s">
        <v>156</v>
      </c>
      <c r="O88" s="153">
        <v>0.3096</v>
      </c>
      <c r="P88" s="155">
        <f>LOG(O88)</f>
        <v>-0.5091990479891451</v>
      </c>
      <c r="R88" s="186">
        <f t="shared" si="3"/>
        <v>-0.5091990479891451</v>
      </c>
    </row>
    <row r="89" spans="1:18" s="28" customFormat="1" ht="22.5" customHeight="1">
      <c r="A89" s="57"/>
      <c r="B89" s="72"/>
      <c r="C89" s="72" t="s">
        <v>161</v>
      </c>
      <c r="D89" s="72">
        <v>482</v>
      </c>
      <c r="E89" s="151">
        <v>0</v>
      </c>
      <c r="F89" s="158">
        <f t="shared" si="5"/>
        <v>482</v>
      </c>
      <c r="G89" s="99" t="s">
        <v>203</v>
      </c>
      <c r="H89" s="74">
        <v>0.8164</v>
      </c>
      <c r="I89" s="75">
        <v>1.8445</v>
      </c>
      <c r="J89" s="76">
        <v>-0.5176982327765572</v>
      </c>
      <c r="K89" s="77"/>
      <c r="L89" s="63"/>
      <c r="N89" s="153"/>
      <c r="O89" s="153">
        <v>0.3036</v>
      </c>
      <c r="P89" s="155">
        <f>(LOG(O89))</f>
        <v>-0.5176982327765572</v>
      </c>
      <c r="R89" s="186">
        <f t="shared" si="3"/>
        <v>-0.5176982327765572</v>
      </c>
    </row>
    <row r="90" spans="1:18" s="28" customFormat="1" ht="22.5" customHeight="1">
      <c r="A90" s="57"/>
      <c r="B90" s="57"/>
      <c r="C90" s="57"/>
      <c r="D90" s="57"/>
      <c r="E90" s="149"/>
      <c r="F90" s="158"/>
      <c r="G90" s="57"/>
      <c r="H90" s="59"/>
      <c r="I90" s="60"/>
      <c r="J90" s="61"/>
      <c r="K90" s="62"/>
      <c r="L90" s="63"/>
      <c r="N90" s="153"/>
      <c r="O90" s="153"/>
      <c r="P90" s="155"/>
      <c r="R90" s="185" t="e">
        <f t="shared" si="3"/>
        <v>#NUM!</v>
      </c>
    </row>
    <row r="91" spans="1:18" s="28" customFormat="1" ht="22.5" customHeight="1">
      <c r="A91" s="57">
        <v>30</v>
      </c>
      <c r="B91" s="139" t="s">
        <v>54</v>
      </c>
      <c r="C91" s="57">
        <v>2021</v>
      </c>
      <c r="D91" s="57">
        <v>32</v>
      </c>
      <c r="E91" s="149">
        <v>0</v>
      </c>
      <c r="F91" s="158">
        <f t="shared" si="5"/>
        <v>32</v>
      </c>
      <c r="G91" s="38" t="s">
        <v>204</v>
      </c>
      <c r="H91" s="59">
        <v>0.8185</v>
      </c>
      <c r="I91" s="60">
        <v>1.839</v>
      </c>
      <c r="J91" s="61">
        <v>-0.30962669308394086</v>
      </c>
      <c r="K91" s="62">
        <v>620.7</v>
      </c>
      <c r="L91" s="156"/>
      <c r="M91" s="166" t="s">
        <v>155</v>
      </c>
      <c r="N91" s="167" t="s">
        <v>156</v>
      </c>
      <c r="O91" s="184">
        <v>0.4902</v>
      </c>
      <c r="P91" s="155">
        <f>LOG(O91)</f>
        <v>-0.30962669308394086</v>
      </c>
      <c r="R91" s="186">
        <f t="shared" si="3"/>
        <v>-0.30962669308394086</v>
      </c>
    </row>
    <row r="92" spans="1:18" s="28" customFormat="1" ht="22.5" customHeight="1">
      <c r="A92" s="57"/>
      <c r="B92" s="57"/>
      <c r="C92" s="57" t="s">
        <v>195</v>
      </c>
      <c r="D92" s="57">
        <v>440</v>
      </c>
      <c r="E92" s="149">
        <v>0</v>
      </c>
      <c r="F92" s="158">
        <f t="shared" si="5"/>
        <v>440</v>
      </c>
      <c r="G92" s="57" t="s">
        <v>205</v>
      </c>
      <c r="H92" s="59">
        <v>0.7433</v>
      </c>
      <c r="I92" s="60">
        <v>1.6889</v>
      </c>
      <c r="J92" s="61">
        <v>-0.17600440884403232</v>
      </c>
      <c r="K92" s="62"/>
      <c r="L92" s="63"/>
      <c r="N92" s="153"/>
      <c r="O92" s="153">
        <v>0.6668</v>
      </c>
      <c r="P92" s="155">
        <f>LOG(O92)</f>
        <v>-0.17600440884403232</v>
      </c>
      <c r="R92" s="186">
        <f t="shared" si="3"/>
        <v>-0.17600440884403232</v>
      </c>
    </row>
    <row r="93" spans="1:18" s="28" customFormat="1" ht="22.5" customHeight="1">
      <c r="A93" s="57"/>
      <c r="B93" s="57"/>
      <c r="C93" s="57"/>
      <c r="D93" s="57"/>
      <c r="E93" s="149"/>
      <c r="F93" s="158"/>
      <c r="G93" s="57"/>
      <c r="H93" s="59"/>
      <c r="I93" s="60"/>
      <c r="J93" s="61"/>
      <c r="K93" s="62"/>
      <c r="L93" s="63"/>
      <c r="N93" s="153"/>
      <c r="O93" s="153"/>
      <c r="P93" s="155"/>
      <c r="R93" s="185" t="e">
        <f t="shared" si="3"/>
        <v>#NUM!</v>
      </c>
    </row>
    <row r="94" spans="1:18" s="28" customFormat="1" ht="22.5" customHeight="1">
      <c r="A94" s="57">
        <v>31</v>
      </c>
      <c r="B94" s="139" t="s">
        <v>62</v>
      </c>
      <c r="C94" s="57">
        <v>2021</v>
      </c>
      <c r="D94" s="57">
        <v>33</v>
      </c>
      <c r="E94" s="149">
        <v>0</v>
      </c>
      <c r="F94" s="158">
        <f t="shared" si="5"/>
        <v>33</v>
      </c>
      <c r="G94" s="132" t="s">
        <v>223</v>
      </c>
      <c r="H94" s="130">
        <v>0.8639</v>
      </c>
      <c r="I94" s="60">
        <v>1.8315</v>
      </c>
      <c r="J94" s="61">
        <v>-0.6259852597080884</v>
      </c>
      <c r="K94" s="62">
        <v>2170</v>
      </c>
      <c r="L94" s="170"/>
      <c r="M94" s="166" t="s">
        <v>155</v>
      </c>
      <c r="N94" s="167" t="s">
        <v>156</v>
      </c>
      <c r="O94" s="153">
        <v>0.2366</v>
      </c>
      <c r="P94" s="155">
        <f>LOG(O94)</f>
        <v>-0.6259852597080884</v>
      </c>
      <c r="R94" s="186">
        <f t="shared" si="3"/>
        <v>-0.6259852597080884</v>
      </c>
    </row>
    <row r="95" spans="1:18" s="28" customFormat="1" ht="22.5" customHeight="1">
      <c r="A95" s="57"/>
      <c r="B95" s="57"/>
      <c r="C95" s="57" t="s">
        <v>200</v>
      </c>
      <c r="D95" s="57">
        <v>121</v>
      </c>
      <c r="E95" s="149">
        <v>0</v>
      </c>
      <c r="F95" s="158">
        <f t="shared" si="5"/>
        <v>121</v>
      </c>
      <c r="G95" s="97" t="s">
        <v>157</v>
      </c>
      <c r="H95" s="130">
        <v>0.825</v>
      </c>
      <c r="I95" s="60">
        <v>1.773</v>
      </c>
      <c r="J95" s="61">
        <v>-0.31884925006757864</v>
      </c>
      <c r="K95" s="62"/>
      <c r="L95" s="63"/>
      <c r="N95" s="153"/>
      <c r="O95" s="153">
        <v>0.4799</v>
      </c>
      <c r="P95" s="155">
        <f>LOG(O95)</f>
        <v>-0.31884925006757864</v>
      </c>
      <c r="R95" s="186">
        <f t="shared" si="3"/>
        <v>-0.31884925006757864</v>
      </c>
    </row>
    <row r="96" spans="1:18" s="28" customFormat="1" ht="22.5" customHeight="1">
      <c r="A96" s="57"/>
      <c r="B96" s="57"/>
      <c r="C96" s="57"/>
      <c r="D96" s="57"/>
      <c r="E96" s="149"/>
      <c r="F96" s="158"/>
      <c r="G96" s="57"/>
      <c r="H96" s="59"/>
      <c r="I96" s="60"/>
      <c r="J96" s="61"/>
      <c r="K96" s="62"/>
      <c r="L96" s="63"/>
      <c r="N96" s="153"/>
      <c r="O96" s="153"/>
      <c r="P96" s="155"/>
      <c r="R96" s="185" t="e">
        <f t="shared" si="3"/>
        <v>#NUM!</v>
      </c>
    </row>
    <row r="97" spans="1:18" s="28" customFormat="1" ht="22.5" customHeight="1" hidden="1">
      <c r="A97" s="57"/>
      <c r="B97" s="57"/>
      <c r="C97" s="57"/>
      <c r="D97" s="57"/>
      <c r="E97" s="149"/>
      <c r="F97" s="158">
        <f t="shared" si="5"/>
        <v>0</v>
      </c>
      <c r="G97" s="57"/>
      <c r="H97" s="59"/>
      <c r="I97" s="60"/>
      <c r="J97" s="182"/>
      <c r="K97" s="62"/>
      <c r="L97" s="63"/>
      <c r="N97" s="153"/>
      <c r="O97" s="153"/>
      <c r="P97" s="155"/>
      <c r="R97" s="185" t="e">
        <f t="shared" si="3"/>
        <v>#NUM!</v>
      </c>
    </row>
    <row r="98" spans="1:18" s="28" customFormat="1" ht="22.5" customHeight="1">
      <c r="A98" s="141">
        <v>32</v>
      </c>
      <c r="B98" s="139" t="s">
        <v>27</v>
      </c>
      <c r="C98" s="57">
        <v>2021</v>
      </c>
      <c r="D98" s="57">
        <v>39</v>
      </c>
      <c r="E98" s="149">
        <v>0</v>
      </c>
      <c r="F98" s="158">
        <f t="shared" si="5"/>
        <v>39</v>
      </c>
      <c r="G98" s="38" t="s">
        <v>206</v>
      </c>
      <c r="H98" s="59">
        <v>0.9135</v>
      </c>
      <c r="I98" s="60">
        <v>1.6965</v>
      </c>
      <c r="J98" s="61">
        <v>0.148232359644905</v>
      </c>
      <c r="K98" s="62">
        <v>2909</v>
      </c>
      <c r="L98" s="156"/>
      <c r="M98" s="166" t="s">
        <v>155</v>
      </c>
      <c r="N98" s="167" t="s">
        <v>156</v>
      </c>
      <c r="O98" s="153">
        <v>1.4068</v>
      </c>
      <c r="P98" s="155">
        <f>LOG(O98)</f>
        <v>0.148232359644905</v>
      </c>
      <c r="R98" s="186">
        <f t="shared" si="3"/>
        <v>0.148232359644905</v>
      </c>
    </row>
    <row r="99" spans="1:18" s="28" customFormat="1" ht="22.5" customHeight="1">
      <c r="A99" s="141"/>
      <c r="B99" s="57"/>
      <c r="C99" s="57" t="s">
        <v>190</v>
      </c>
      <c r="D99" s="57">
        <v>750</v>
      </c>
      <c r="E99" s="149">
        <v>0</v>
      </c>
      <c r="F99" s="158">
        <f t="shared" si="5"/>
        <v>750</v>
      </c>
      <c r="G99" s="98" t="s">
        <v>207</v>
      </c>
      <c r="H99" s="59">
        <v>0.9326</v>
      </c>
      <c r="I99" s="60">
        <v>1.5459</v>
      </c>
      <c r="J99" s="61">
        <v>0.45898514571101284</v>
      </c>
      <c r="K99" s="62"/>
      <c r="L99" s="63"/>
      <c r="N99" s="153"/>
      <c r="O99" s="153">
        <v>2.8773</v>
      </c>
      <c r="P99" s="155">
        <f>LOG(O99)</f>
        <v>0.45898514571101284</v>
      </c>
      <c r="R99" s="186">
        <f t="shared" si="3"/>
        <v>0.45898514571101284</v>
      </c>
    </row>
    <row r="100" spans="1:18" s="28" customFormat="1" ht="22.5" customHeight="1">
      <c r="A100" s="141"/>
      <c r="B100" s="57"/>
      <c r="C100" s="57"/>
      <c r="D100" s="57"/>
      <c r="E100" s="149"/>
      <c r="F100" s="158"/>
      <c r="G100" s="98"/>
      <c r="H100" s="59"/>
      <c r="I100" s="60"/>
      <c r="J100" s="61"/>
      <c r="K100" s="62"/>
      <c r="L100" s="63"/>
      <c r="N100" s="153"/>
      <c r="O100" s="153"/>
      <c r="P100" s="155"/>
      <c r="R100" s="185" t="e">
        <f t="shared" si="3"/>
        <v>#NUM!</v>
      </c>
    </row>
    <row r="101" spans="1:18" s="28" customFormat="1" ht="22.5" customHeight="1">
      <c r="A101" s="141">
        <v>33</v>
      </c>
      <c r="B101" s="139" t="s">
        <v>51</v>
      </c>
      <c r="C101" s="57">
        <v>2021</v>
      </c>
      <c r="D101" s="57">
        <v>28</v>
      </c>
      <c r="E101" s="149">
        <v>0</v>
      </c>
      <c r="F101" s="98">
        <f t="shared" si="5"/>
        <v>28</v>
      </c>
      <c r="G101" s="38" t="s">
        <v>208</v>
      </c>
      <c r="H101" s="59">
        <v>0.7479</v>
      </c>
      <c r="I101" s="60">
        <v>2.9045</v>
      </c>
      <c r="J101" s="61">
        <v>-0.45717457304082015</v>
      </c>
      <c r="K101" s="62">
        <v>386</v>
      </c>
      <c r="L101" s="63"/>
      <c r="M101" s="166" t="s">
        <v>155</v>
      </c>
      <c r="N101" s="167" t="s">
        <v>156</v>
      </c>
      <c r="O101" s="184">
        <v>0.349</v>
      </c>
      <c r="P101" s="155">
        <f>LOG(O101)</f>
        <v>-0.45717457304082015</v>
      </c>
      <c r="R101" s="186">
        <f t="shared" si="3"/>
        <v>-0.45717457304082015</v>
      </c>
    </row>
    <row r="102" spans="1:18" s="28" customFormat="1" ht="23.25" customHeight="1">
      <c r="A102" s="57"/>
      <c r="B102" s="57"/>
      <c r="C102" s="57" t="s">
        <v>165</v>
      </c>
      <c r="D102" s="57">
        <v>471</v>
      </c>
      <c r="E102" s="149">
        <v>0</v>
      </c>
      <c r="F102" s="98">
        <f t="shared" si="5"/>
        <v>471</v>
      </c>
      <c r="G102" s="98" t="s">
        <v>209</v>
      </c>
      <c r="H102" s="59">
        <v>0.6884</v>
      </c>
      <c r="I102" s="60">
        <v>2.0906</v>
      </c>
      <c r="J102" s="61">
        <v>-0.06233168560099491</v>
      </c>
      <c r="K102" s="62"/>
      <c r="L102" s="63"/>
      <c r="N102" s="153"/>
      <c r="O102" s="153">
        <v>0.8663</v>
      </c>
      <c r="P102" s="155">
        <f>LOG(O102)</f>
        <v>-0.06233168560099491</v>
      </c>
      <c r="R102" s="186">
        <f t="shared" si="3"/>
        <v>-0.06233168560099491</v>
      </c>
    </row>
    <row r="103" spans="1:18" s="28" customFormat="1" ht="22.5" customHeight="1">
      <c r="A103" s="141"/>
      <c r="B103" s="57"/>
      <c r="C103" s="57"/>
      <c r="D103" s="57"/>
      <c r="E103" s="149"/>
      <c r="F103" s="158"/>
      <c r="G103" s="57"/>
      <c r="H103" s="59"/>
      <c r="I103" s="60"/>
      <c r="J103" s="61"/>
      <c r="K103" s="62"/>
      <c r="L103" s="63"/>
      <c r="N103" s="153"/>
      <c r="O103" s="153"/>
      <c r="P103" s="155"/>
      <c r="R103" s="185" t="e">
        <f t="shared" si="3"/>
        <v>#NUM!</v>
      </c>
    </row>
    <row r="104" spans="1:18" s="28" customFormat="1" ht="22.5" customHeight="1">
      <c r="A104" s="141">
        <v>34</v>
      </c>
      <c r="B104" s="137" t="s">
        <v>30</v>
      </c>
      <c r="C104" s="57">
        <v>2021</v>
      </c>
      <c r="D104" s="57">
        <v>26</v>
      </c>
      <c r="E104" s="149">
        <v>0</v>
      </c>
      <c r="F104" s="158">
        <f t="shared" si="5"/>
        <v>26</v>
      </c>
      <c r="G104" s="38" t="s">
        <v>210</v>
      </c>
      <c r="H104" s="59">
        <v>0.9532</v>
      </c>
      <c r="I104" s="60">
        <v>1.4064</v>
      </c>
      <c r="J104" s="61">
        <v>-0.09420411963213146</v>
      </c>
      <c r="K104" s="62">
        <v>6266</v>
      </c>
      <c r="L104" s="63"/>
      <c r="M104" s="166" t="s">
        <v>155</v>
      </c>
      <c r="N104" s="167" t="s">
        <v>156</v>
      </c>
      <c r="O104" s="184">
        <v>0.805</v>
      </c>
      <c r="P104" s="155">
        <f>LOG(O104)</f>
        <v>-0.09420411963213146</v>
      </c>
      <c r="R104" s="186">
        <f t="shared" si="3"/>
        <v>-0.09420411963213146</v>
      </c>
    </row>
    <row r="105" spans="1:18" s="24" customFormat="1" ht="25.5">
      <c r="A105" s="141"/>
      <c r="B105" s="57"/>
      <c r="C105" s="57" t="s">
        <v>211</v>
      </c>
      <c r="D105" s="57">
        <v>251</v>
      </c>
      <c r="E105" s="149">
        <v>0</v>
      </c>
      <c r="F105" s="158">
        <f t="shared" si="5"/>
        <v>251</v>
      </c>
      <c r="G105" s="57" t="s">
        <v>212</v>
      </c>
      <c r="H105" s="59">
        <v>0.8934</v>
      </c>
      <c r="I105" s="60">
        <v>1.29</v>
      </c>
      <c r="J105" s="61">
        <v>0.2897672709527814</v>
      </c>
      <c r="K105" s="79"/>
      <c r="L105" s="63"/>
      <c r="N105" s="96"/>
      <c r="O105" s="96">
        <v>1.9488</v>
      </c>
      <c r="P105" s="154">
        <f>LOG(O105)</f>
        <v>0.2897672709527814</v>
      </c>
      <c r="R105" s="186">
        <f t="shared" si="3"/>
        <v>0.2897672709527814</v>
      </c>
    </row>
    <row r="106" spans="1:18" s="24" customFormat="1" ht="23.25">
      <c r="A106" s="57"/>
      <c r="B106" s="57"/>
      <c r="C106" s="57"/>
      <c r="D106" s="57"/>
      <c r="E106" s="149"/>
      <c r="F106" s="158"/>
      <c r="G106" s="57"/>
      <c r="H106" s="59"/>
      <c r="I106" s="60"/>
      <c r="J106" s="61"/>
      <c r="K106" s="79"/>
      <c r="L106" s="63"/>
      <c r="N106" s="96"/>
      <c r="O106" s="96"/>
      <c r="P106" s="154"/>
      <c r="R106" s="185" t="e">
        <f t="shared" si="3"/>
        <v>#NUM!</v>
      </c>
    </row>
    <row r="107" spans="1:18" s="24" customFormat="1" ht="25.5">
      <c r="A107" s="57">
        <v>35</v>
      </c>
      <c r="B107" s="139" t="s">
        <v>63</v>
      </c>
      <c r="C107" s="57">
        <v>2021</v>
      </c>
      <c r="D107" s="57">
        <v>32</v>
      </c>
      <c r="E107" s="149">
        <v>0</v>
      </c>
      <c r="F107" s="158">
        <f t="shared" si="5"/>
        <v>32</v>
      </c>
      <c r="G107" s="38" t="s">
        <v>213</v>
      </c>
      <c r="H107" s="59">
        <v>0.8733</v>
      </c>
      <c r="I107" s="60">
        <v>1.8841</v>
      </c>
      <c r="J107" s="61">
        <v>0.2484882255774431</v>
      </c>
      <c r="K107" s="62">
        <v>644</v>
      </c>
      <c r="L107" s="181"/>
      <c r="M107" s="166" t="s">
        <v>155</v>
      </c>
      <c r="N107" s="167" t="s">
        <v>156</v>
      </c>
      <c r="O107" s="96">
        <v>1.7721</v>
      </c>
      <c r="P107" s="154">
        <f>LOG(O107)</f>
        <v>0.2484882255774431</v>
      </c>
      <c r="R107" s="186">
        <f t="shared" si="3"/>
        <v>0.2484882255774431</v>
      </c>
    </row>
    <row r="108" spans="1:18" s="24" customFormat="1" ht="25.5">
      <c r="A108" s="57"/>
      <c r="B108" s="57"/>
      <c r="C108" s="57" t="s">
        <v>240</v>
      </c>
      <c r="D108" s="57">
        <v>120</v>
      </c>
      <c r="E108" s="149">
        <v>0</v>
      </c>
      <c r="F108" s="158">
        <f t="shared" si="5"/>
        <v>120</v>
      </c>
      <c r="G108" s="57" t="s">
        <v>214</v>
      </c>
      <c r="H108" s="59">
        <v>0.895</v>
      </c>
      <c r="I108" s="60">
        <v>1.8714</v>
      </c>
      <c r="J108" s="154">
        <v>0.2765766816985544</v>
      </c>
      <c r="K108" s="79"/>
      <c r="L108" s="63"/>
      <c r="N108" s="96"/>
      <c r="O108" s="183">
        <v>1.8905</v>
      </c>
      <c r="P108" s="154">
        <f>LOG(O108)</f>
        <v>0.2765766816985544</v>
      </c>
      <c r="R108" s="186">
        <f t="shared" si="3"/>
        <v>0.2765766816985544</v>
      </c>
    </row>
    <row r="109" spans="1:16" s="24" customFormat="1" ht="23.25">
      <c r="A109" s="100"/>
      <c r="B109" s="100"/>
      <c r="C109" s="100"/>
      <c r="D109" s="100"/>
      <c r="E109" s="172"/>
      <c r="F109" s="158"/>
      <c r="G109" s="100"/>
      <c r="H109" s="162"/>
      <c r="I109" s="100"/>
      <c r="J109" s="190"/>
      <c r="K109" s="100"/>
      <c r="L109" s="63"/>
      <c r="N109" s="96"/>
      <c r="O109" s="96"/>
      <c r="P109" s="154"/>
    </row>
    <row r="110" spans="1:16" s="24" customFormat="1" ht="23.25">
      <c r="A110" s="57"/>
      <c r="B110" s="57"/>
      <c r="C110" s="57" t="s">
        <v>9</v>
      </c>
      <c r="D110" s="176">
        <f>SUM(D4:D109)</f>
        <v>16931</v>
      </c>
      <c r="E110" s="173">
        <f>SUM(E4:E109)</f>
        <v>64</v>
      </c>
      <c r="F110" s="177">
        <f>SUM(F4:F109)</f>
        <v>16995</v>
      </c>
      <c r="G110" s="38"/>
      <c r="H110" s="59"/>
      <c r="I110" s="60"/>
      <c r="J110" s="61"/>
      <c r="K110" s="62"/>
      <c r="L110" s="53"/>
      <c r="N110" s="134"/>
      <c r="O110" s="134"/>
      <c r="P110" s="154"/>
    </row>
    <row r="111" spans="1:16" s="24" customFormat="1" ht="25.5">
      <c r="A111" s="133" t="s">
        <v>55</v>
      </c>
      <c r="B111" s="133"/>
      <c r="C111" s="174"/>
      <c r="D111" s="101"/>
      <c r="E111" s="102"/>
      <c r="F111" s="66"/>
      <c r="G111" s="101"/>
      <c r="H111" s="104"/>
      <c r="I111" s="105"/>
      <c r="J111" s="106"/>
      <c r="K111" s="107"/>
      <c r="L111" s="108"/>
      <c r="N111" s="96"/>
      <c r="O111" s="96"/>
      <c r="P111" s="154"/>
    </row>
    <row r="112" spans="1:16" s="24" customFormat="1" ht="23.25">
      <c r="A112" s="109"/>
      <c r="B112" s="109"/>
      <c r="C112" s="109"/>
      <c r="D112" s="109"/>
      <c r="E112" s="171"/>
      <c r="F112" s="152"/>
      <c r="G112" s="109"/>
      <c r="H112" s="163"/>
      <c r="I112" s="109"/>
      <c r="J112" s="109"/>
      <c r="K112" s="109"/>
      <c r="L112" s="110"/>
      <c r="N112" s="96"/>
      <c r="O112" s="96"/>
      <c r="P112" s="154"/>
    </row>
  </sheetData>
  <sheetProtection/>
  <mergeCells count="10">
    <mergeCell ref="A1:L1"/>
    <mergeCell ref="A2:A3"/>
    <mergeCell ref="B2:B3"/>
    <mergeCell ref="C2:C3"/>
    <mergeCell ref="D2:F2"/>
    <mergeCell ref="G2:G3"/>
    <mergeCell ref="H2:H3"/>
    <mergeCell ref="I2:I3"/>
    <mergeCell ref="J2:J3"/>
    <mergeCell ref="L2:L3"/>
  </mergeCells>
  <printOptions horizontalCentered="1"/>
  <pageMargins left="0.11811023622047245" right="0" top="0.6692913385826772" bottom="0.1968503937007874" header="0.5118110236220472" footer="0.5511811023622047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Admin_TK</cp:lastModifiedBy>
  <cp:lastPrinted>2022-06-14T03:19:09Z</cp:lastPrinted>
  <dcterms:created xsi:type="dcterms:W3CDTF">2001-05-01T08:12:27Z</dcterms:created>
  <dcterms:modified xsi:type="dcterms:W3CDTF">2022-06-14T04:16:33Z</dcterms:modified>
  <cp:category/>
  <cp:version/>
  <cp:contentType/>
  <cp:contentStatus/>
</cp:coreProperties>
</file>