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4" sheetId="1" r:id="rId1"/>
    <sheet name="EQU2004 (2)" sheetId="2" r:id="rId2"/>
  </sheets>
  <definedNames>
    <definedName name="_xlnm.Print_Titles" localSheetId="0">'EQU2004'!$1:$3</definedName>
    <definedName name="_xlnm.Print_Titles" localSheetId="1">'EQU2004 (2)'!$1:$3</definedName>
  </definedNames>
  <calcPr fullCalcOnLoad="1"/>
</workbook>
</file>

<file path=xl/sharedStrings.xml><?xml version="1.0" encoding="utf-8"?>
<sst xmlns="http://schemas.openxmlformats.org/spreadsheetml/2006/main" count="144" uniqueCount="105">
  <si>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</si>
  <si>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</si>
  <si>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</si>
  <si>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</si>
  <si>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</si>
  <si>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</si>
  <si>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</si>
  <si>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</si>
  <si>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</si>
  <si>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</si>
  <si>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</si>
  <si>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</si>
  <si>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</si>
  <si>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</si>
  <si>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</si>
  <si>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</si>
  <si>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</si>
  <si>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</si>
  <si>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</si>
  <si>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</si>
  <si>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Y.24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</si>
  <si>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</si>
  <si>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</si>
  <si>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</si>
  <si>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</si>
  <si>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</si>
  <si>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</si>
  <si>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</si>
  <si>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</si>
  <si>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</si>
  <si>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N.49</t>
  </si>
  <si>
    <t>N.63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</si>
  <si>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</si>
  <si>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</si>
  <si>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</si>
  <si>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</si>
  <si>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</si>
  <si>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</si>
  <si>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</si>
  <si>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</si>
  <si>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</si>
  <si>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</si>
  <si>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</si>
  <si>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</si>
  <si>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</si>
  <si>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</si>
  <si>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r>
      <t>Y=1.8625X</t>
    </r>
    <r>
      <rPr>
        <vertAlign val="superscript"/>
        <sz val="16"/>
        <color indexed="10"/>
        <rFont val="DilleniaUPC"/>
        <family val="1"/>
      </rPr>
      <t>1.5147</t>
    </r>
  </si>
  <si>
    <r>
      <t>Y=1.3901X</t>
    </r>
    <r>
      <rPr>
        <vertAlign val="superscript"/>
        <sz val="16"/>
        <rFont val="DilleniaUPC"/>
        <family val="1"/>
      </rPr>
      <t>1.5474</t>
    </r>
  </si>
  <si>
    <r>
      <t>Y=5.0585X</t>
    </r>
    <r>
      <rPr>
        <vertAlign val="superscript"/>
        <sz val="16"/>
        <color indexed="10"/>
        <rFont val="DilleniaUPC"/>
        <family val="1"/>
      </rPr>
      <t>1.359</t>
    </r>
  </si>
  <si>
    <r>
      <t>Y=4.0115X</t>
    </r>
    <r>
      <rPr>
        <vertAlign val="superscript"/>
        <sz val="16"/>
        <rFont val="DilleniaUPC"/>
        <family val="1"/>
      </rPr>
      <t>1.5121</t>
    </r>
  </si>
  <si>
    <r>
      <t>Y=1.1109X</t>
    </r>
    <r>
      <rPr>
        <vertAlign val="superscript"/>
        <sz val="16"/>
        <color indexed="10"/>
        <rFont val="DilleniaUPC"/>
        <family val="1"/>
      </rPr>
      <t>2.0922</t>
    </r>
  </si>
  <si>
    <r>
      <t>Y=0.5321X</t>
    </r>
    <r>
      <rPr>
        <vertAlign val="superscript"/>
        <sz val="16"/>
        <rFont val="DilleniaUPC"/>
        <family val="1"/>
      </rPr>
      <t>2.1277</t>
    </r>
  </si>
  <si>
    <r>
      <t>Y=4.2356X</t>
    </r>
    <r>
      <rPr>
        <vertAlign val="superscript"/>
        <sz val="16"/>
        <color indexed="10"/>
        <rFont val="DilleniaUPC"/>
        <family val="1"/>
      </rPr>
      <t>1.3279</t>
    </r>
  </si>
  <si>
    <r>
      <t>Y=5.0914X</t>
    </r>
    <r>
      <rPr>
        <vertAlign val="superscript"/>
        <sz val="16"/>
        <rFont val="DilleniaUPC"/>
        <family val="1"/>
      </rPr>
      <t>1.3509</t>
    </r>
  </si>
  <si>
    <r>
      <t>Y=6.2617X</t>
    </r>
    <r>
      <rPr>
        <vertAlign val="superscript"/>
        <sz val="16"/>
        <color indexed="10"/>
        <rFont val="DilleniaUPC"/>
        <family val="1"/>
      </rPr>
      <t>1.3292</t>
    </r>
  </si>
  <si>
    <r>
      <t>Y=5.1699X</t>
    </r>
    <r>
      <rPr>
        <vertAlign val="superscript"/>
        <sz val="16"/>
        <rFont val="DilleniaUPC"/>
        <family val="1"/>
      </rPr>
      <t>1.3553</t>
    </r>
  </si>
  <si>
    <r>
      <t>Y=2.2001X</t>
    </r>
    <r>
      <rPr>
        <vertAlign val="superscript"/>
        <sz val="16"/>
        <color indexed="10"/>
        <rFont val="DilleniaUPC"/>
        <family val="1"/>
      </rPr>
      <t>1.1664</t>
    </r>
  </si>
  <si>
    <r>
      <t>Y=1.648X</t>
    </r>
    <r>
      <rPr>
        <vertAlign val="superscript"/>
        <sz val="16"/>
        <rFont val="DilleniaUPC"/>
        <family val="1"/>
      </rPr>
      <t>1.3113</t>
    </r>
  </si>
  <si>
    <r>
      <t>Y=1.8054X</t>
    </r>
    <r>
      <rPr>
        <vertAlign val="superscript"/>
        <sz val="16"/>
        <color indexed="10"/>
        <rFont val="DilleniaUPC"/>
        <family val="1"/>
      </rPr>
      <t>1.4281</t>
    </r>
  </si>
  <si>
    <r>
      <t>Y=0.6156X</t>
    </r>
    <r>
      <rPr>
        <vertAlign val="superscript"/>
        <sz val="16"/>
        <rFont val="DilleniaUPC"/>
        <family val="1"/>
      </rPr>
      <t>1.7557</t>
    </r>
  </si>
  <si>
    <r>
      <t>Y=4.0174X</t>
    </r>
    <r>
      <rPr>
        <vertAlign val="superscript"/>
        <sz val="16"/>
        <color indexed="10"/>
        <rFont val="DilleniaUPC"/>
        <family val="1"/>
      </rPr>
      <t>1.4243</t>
    </r>
  </si>
  <si>
    <r>
      <t>Y=4.2084X</t>
    </r>
    <r>
      <rPr>
        <vertAlign val="superscript"/>
        <sz val="16"/>
        <rFont val="DilleniaUPC"/>
        <family val="1"/>
      </rPr>
      <t>1.2347</t>
    </r>
  </si>
  <si>
    <r>
      <t>Y=5.9977X</t>
    </r>
    <r>
      <rPr>
        <vertAlign val="superscript"/>
        <sz val="16"/>
        <color indexed="10"/>
        <rFont val="DilleniaUPC"/>
        <family val="1"/>
      </rPr>
      <t>1.0532</t>
    </r>
  </si>
  <si>
    <r>
      <t>Y=4.7253X</t>
    </r>
    <r>
      <rPr>
        <vertAlign val="superscript"/>
        <sz val="16"/>
        <color indexed="8"/>
        <rFont val="DilleniaUPC"/>
        <family val="1"/>
      </rPr>
      <t>1.2366</t>
    </r>
  </si>
  <si>
    <r>
      <t>Y=1.1168X</t>
    </r>
    <r>
      <rPr>
        <vertAlign val="superscript"/>
        <sz val="16"/>
        <color indexed="10"/>
        <rFont val="DilleniaUPC"/>
        <family val="1"/>
      </rPr>
      <t>1.5429</t>
    </r>
  </si>
  <si>
    <r>
      <t>Y=1.3552X</t>
    </r>
    <r>
      <rPr>
        <vertAlign val="superscript"/>
        <sz val="16"/>
        <rFont val="DilleniaUPC"/>
        <family val="1"/>
      </rPr>
      <t>1.4721</t>
    </r>
  </si>
  <si>
    <r>
      <t>Y=2.6781X</t>
    </r>
    <r>
      <rPr>
        <vertAlign val="superscript"/>
        <sz val="16"/>
        <color indexed="10"/>
        <rFont val="DilleniaUPC"/>
        <family val="1"/>
      </rPr>
      <t>1.649</t>
    </r>
  </si>
  <si>
    <r>
      <t>Y=3.1475X</t>
    </r>
    <r>
      <rPr>
        <vertAlign val="superscript"/>
        <sz val="16"/>
        <rFont val="DilleniaUPC"/>
        <family val="1"/>
      </rPr>
      <t>1.5194</t>
    </r>
  </si>
  <si>
    <r>
      <t>Y=3.5482X</t>
    </r>
    <r>
      <rPr>
        <vertAlign val="superscript"/>
        <sz val="16"/>
        <color indexed="10"/>
        <rFont val="DilleniaUPC"/>
        <family val="1"/>
      </rPr>
      <t>1.5602</t>
    </r>
  </si>
  <si>
    <r>
      <t>Y=3.3891X</t>
    </r>
    <r>
      <rPr>
        <vertAlign val="superscript"/>
        <sz val="16"/>
        <rFont val="DilleniaUPC"/>
        <family val="1"/>
      </rPr>
      <t>1.4536</t>
    </r>
  </si>
  <si>
    <r>
      <t>Y=5.1748X</t>
    </r>
    <r>
      <rPr>
        <vertAlign val="superscript"/>
        <sz val="16"/>
        <color indexed="10"/>
        <rFont val="DilleniaUPC"/>
        <family val="1"/>
      </rPr>
      <t>1.3391</t>
    </r>
  </si>
  <si>
    <r>
      <t>Y=4.2229X</t>
    </r>
    <r>
      <rPr>
        <vertAlign val="superscript"/>
        <sz val="16"/>
        <rFont val="DilleniaUPC"/>
        <family val="1"/>
      </rPr>
      <t>1.3651</t>
    </r>
  </si>
  <si>
    <r>
      <t>Y=3.1007X</t>
    </r>
    <r>
      <rPr>
        <vertAlign val="superscript"/>
        <sz val="16"/>
        <color indexed="10"/>
        <rFont val="DilleniaUPC"/>
        <family val="1"/>
      </rPr>
      <t>1.3729</t>
    </r>
  </si>
  <si>
    <r>
      <t>Y=3.9268X</t>
    </r>
    <r>
      <rPr>
        <vertAlign val="superscript"/>
        <sz val="16"/>
        <rFont val="DilleniaUPC"/>
        <family val="1"/>
      </rPr>
      <t>1.3297</t>
    </r>
  </si>
  <si>
    <r>
      <t>Y=7.3462X</t>
    </r>
    <r>
      <rPr>
        <vertAlign val="superscript"/>
        <sz val="16"/>
        <color indexed="10"/>
        <rFont val="DilleniaUPC"/>
        <family val="1"/>
      </rPr>
      <t>1.2824</t>
    </r>
  </si>
  <si>
    <r>
      <t>Y=5.0369X</t>
    </r>
    <r>
      <rPr>
        <vertAlign val="superscript"/>
        <sz val="16"/>
        <rFont val="DilleniaUPC"/>
        <family val="1"/>
      </rPr>
      <t>1.3604</t>
    </r>
  </si>
  <si>
    <r>
      <t>Y=2.1587X</t>
    </r>
    <r>
      <rPr>
        <vertAlign val="superscript"/>
        <sz val="16"/>
        <color indexed="10"/>
        <rFont val="DilleniaUPC"/>
        <family val="1"/>
      </rPr>
      <t>1.6154</t>
    </r>
  </si>
  <si>
    <r>
      <t>Y=1.767X</t>
    </r>
    <r>
      <rPr>
        <vertAlign val="superscript"/>
        <sz val="16"/>
        <rFont val="DilleniaUPC"/>
        <family val="1"/>
      </rPr>
      <t>1.5898</t>
    </r>
  </si>
  <si>
    <r>
      <t>Y=0.2518X</t>
    </r>
    <r>
      <rPr>
        <vertAlign val="superscript"/>
        <sz val="16"/>
        <color indexed="10"/>
        <rFont val="DilleniaUPC"/>
        <family val="1"/>
      </rPr>
      <t>1.6208</t>
    </r>
  </si>
  <si>
    <r>
      <t>Y=0.3629X</t>
    </r>
    <r>
      <rPr>
        <vertAlign val="superscript"/>
        <sz val="16"/>
        <rFont val="DilleniaUPC"/>
        <family val="1"/>
      </rPr>
      <t>1.6078</t>
    </r>
  </si>
  <si>
    <r>
      <t>Y=2.0158X</t>
    </r>
    <r>
      <rPr>
        <vertAlign val="superscript"/>
        <sz val="16"/>
        <color indexed="10"/>
        <rFont val="DilleniaUPC"/>
        <family val="1"/>
      </rPr>
      <t>1.4492</t>
    </r>
  </si>
  <si>
    <r>
      <t>Y=2.8324X</t>
    </r>
    <r>
      <rPr>
        <vertAlign val="superscript"/>
        <sz val="16"/>
        <color indexed="8"/>
        <rFont val="DilleniaUPC"/>
        <family val="1"/>
      </rPr>
      <t>1.1667</t>
    </r>
  </si>
  <si>
    <r>
      <t>Y=6.7079X</t>
    </r>
    <r>
      <rPr>
        <vertAlign val="superscript"/>
        <sz val="16"/>
        <color indexed="10"/>
        <rFont val="DilleniaUPC"/>
        <family val="1"/>
      </rPr>
      <t>1.5721</t>
    </r>
  </si>
  <si>
    <r>
      <t>Y=5.2511X</t>
    </r>
    <r>
      <rPr>
        <vertAlign val="superscript"/>
        <sz val="16"/>
        <rFont val="DilleniaUPC"/>
        <family val="1"/>
      </rPr>
      <t>1.5695</t>
    </r>
  </si>
  <si>
    <r>
      <t>Y=0.8031X</t>
    </r>
    <r>
      <rPr>
        <vertAlign val="superscript"/>
        <sz val="16"/>
        <color indexed="10"/>
        <rFont val="DilleniaUPC"/>
        <family val="1"/>
      </rPr>
      <t>1.7618</t>
    </r>
  </si>
  <si>
    <r>
      <t>Y=1.1405X</t>
    </r>
    <r>
      <rPr>
        <vertAlign val="superscript"/>
        <sz val="16"/>
        <rFont val="DilleniaUPC"/>
        <family val="1"/>
      </rPr>
      <t>1.6147</t>
    </r>
  </si>
  <si>
    <r>
      <t>Y=9.765X</t>
    </r>
    <r>
      <rPr>
        <vertAlign val="superscript"/>
        <sz val="16"/>
        <color indexed="10"/>
        <rFont val="DilleniaUPC"/>
        <family val="1"/>
      </rPr>
      <t>1.2385</t>
    </r>
  </si>
  <si>
    <r>
      <t>Y=5.2396X</t>
    </r>
    <r>
      <rPr>
        <vertAlign val="superscript"/>
        <sz val="16"/>
        <rFont val="DilleniaUPC"/>
        <family val="1"/>
      </rPr>
      <t>1.3936</t>
    </r>
  </si>
  <si>
    <r>
      <t>Y=8.1572X</t>
    </r>
    <r>
      <rPr>
        <vertAlign val="superscript"/>
        <sz val="16"/>
        <color indexed="10"/>
        <rFont val="DilleniaUPC"/>
        <family val="1"/>
      </rPr>
      <t>1.3598</t>
    </r>
  </si>
  <si>
    <r>
      <t>Y=6.4143X</t>
    </r>
    <r>
      <rPr>
        <vertAlign val="superscript"/>
        <sz val="16"/>
        <rFont val="DilleniaUPC"/>
        <family val="1"/>
      </rPr>
      <t>1.4055</t>
    </r>
  </si>
  <si>
    <r>
      <t>Y=8.2965X</t>
    </r>
    <r>
      <rPr>
        <vertAlign val="superscript"/>
        <sz val="16"/>
        <color indexed="10"/>
        <rFont val="DilleniaUPC"/>
        <family val="1"/>
      </rPr>
      <t>1.4775</t>
    </r>
  </si>
  <si>
    <r>
      <t>Y=7.0475X</t>
    </r>
    <r>
      <rPr>
        <vertAlign val="superscript"/>
        <sz val="16"/>
        <rFont val="DilleniaUPC"/>
        <family val="1"/>
      </rPr>
      <t>1.5163</t>
    </r>
  </si>
  <si>
    <r>
      <t>Y=11.374X</t>
    </r>
    <r>
      <rPr>
        <vertAlign val="superscript"/>
        <sz val="16"/>
        <color indexed="10"/>
        <rFont val="DilleniaUPC"/>
        <family val="1"/>
      </rPr>
      <t>1.0084</t>
    </r>
  </si>
  <si>
    <r>
      <t>Y=5.8748X</t>
    </r>
    <r>
      <rPr>
        <vertAlign val="superscript"/>
        <sz val="16"/>
        <rFont val="DilleniaUPC"/>
        <family val="1"/>
      </rPr>
      <t>1.1205</t>
    </r>
  </si>
  <si>
    <t>1993 - 2004</t>
  </si>
  <si>
    <t>1992 - 2004</t>
  </si>
  <si>
    <t>1970 - 2004</t>
  </si>
  <si>
    <t>2001 - 2004</t>
  </si>
  <si>
    <t>1997 - 2004</t>
  </si>
  <si>
    <t>2000 - 2004</t>
  </si>
  <si>
    <t>1996 - 2004</t>
  </si>
  <si>
    <t>1999 - 2004</t>
  </si>
  <si>
    <t>1994 - 2004</t>
  </si>
  <si>
    <r>
      <t>Y=2.397X</t>
    </r>
    <r>
      <rPr>
        <vertAlign val="superscript"/>
        <sz val="16"/>
        <color indexed="10"/>
        <rFont val="DilleniaUPC"/>
        <family val="1"/>
      </rPr>
      <t>1.5599</t>
    </r>
  </si>
  <si>
    <r>
      <t>Y=15.019X</t>
    </r>
    <r>
      <rPr>
        <vertAlign val="superscript"/>
        <sz val="16"/>
        <rFont val="DilleniaUPC"/>
        <family val="1"/>
      </rPr>
      <t>0.9441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</si>
</sst>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12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vertAlign val="superscript"/>
      <sz val="16"/>
      <color indexed="10"/>
      <name val="DilleniaUPC"/>
      <family val="1"/>
    </font>
    <font>
      <vertAlign val="superscript"/>
      <sz val="16"/>
      <name val="Dillen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9" fontId="7" fillId="0" borderId="1" xfId="0" applyNumberFormat="1" applyFont="1" applyBorder="1" applyAlignment="1">
      <alignment horizontal="center"/>
    </xf>
    <xf numFmtId="18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9" fontId="6" fillId="0" borderId="5" xfId="0" applyNumberFormat="1" applyFont="1" applyBorder="1" applyAlignment="1">
      <alignment horizontal="center"/>
    </xf>
    <xf numFmtId="189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9" fontId="7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justify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9" fontId="6" fillId="0" borderId="9" xfId="0" applyNumberFormat="1" applyFont="1" applyBorder="1" applyAlignment="1">
      <alignment horizontal="center"/>
    </xf>
    <xf numFmtId="189" fontId="6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92" fontId="6" fillId="0" borderId="14" xfId="15" applyNumberFormat="1" applyFont="1" applyBorder="1" applyAlignment="1">
      <alignment horizontal="center"/>
    </xf>
    <xf numFmtId="192" fontId="6" fillId="0" borderId="15" xfId="15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89" fontId="6" fillId="0" borderId="13" xfId="0" applyNumberFormat="1" applyFont="1" applyBorder="1" applyAlignment="1">
      <alignment horizontal="center"/>
    </xf>
    <xf numFmtId="41" fontId="6" fillId="0" borderId="13" xfId="15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89" fontId="10" fillId="0" borderId="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96" fontId="6" fillId="0" borderId="1" xfId="0" applyNumberFormat="1" applyFont="1" applyBorder="1" applyAlignment="1">
      <alignment/>
    </xf>
    <xf numFmtId="196" fontId="6" fillId="0" borderId="5" xfId="0" applyNumberFormat="1" applyFont="1" applyBorder="1" applyAlignment="1">
      <alignment/>
    </xf>
    <xf numFmtId="196" fontId="6" fillId="0" borderId="9" xfId="0" applyNumberFormat="1" applyFont="1" applyBorder="1" applyAlignment="1">
      <alignment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/>
    </xf>
    <xf numFmtId="3" fontId="6" fillId="0" borderId="5" xfId="15" applyNumberFormat="1" applyFont="1" applyBorder="1" applyAlignment="1">
      <alignment horizontal="right"/>
    </xf>
    <xf numFmtId="196" fontId="6" fillId="0" borderId="13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22" xfId="0" applyNumberFormat="1" applyFont="1" applyBorder="1" applyAlignment="1">
      <alignment/>
    </xf>
    <xf numFmtId="196" fontId="1" fillId="2" borderId="23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9" fontId="6" fillId="0" borderId="9" xfId="0" applyNumberFormat="1" applyFont="1" applyBorder="1" applyAlignment="1">
      <alignment/>
    </xf>
    <xf numFmtId="199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89" fontId="7" fillId="0" borderId="16" xfId="0" applyNumberFormat="1" applyFont="1" applyBorder="1" applyAlignment="1">
      <alignment horizontal="center"/>
    </xf>
    <xf numFmtId="189" fontId="6" fillId="0" borderId="16" xfId="0" applyNumberFormat="1" applyFont="1" applyBorder="1" applyAlignment="1">
      <alignment/>
    </xf>
    <xf numFmtId="196" fontId="6" fillId="0" borderId="16" xfId="0" applyNumberFormat="1" applyFont="1" applyBorder="1" applyAlignment="1">
      <alignment/>
    </xf>
    <xf numFmtId="3" fontId="6" fillId="0" borderId="16" xfId="15" applyNumberFormat="1" applyFont="1" applyBorder="1" applyAlignment="1">
      <alignment horizontal="right"/>
    </xf>
    <xf numFmtId="196" fontId="1" fillId="2" borderId="28" xfId="0" applyNumberFormat="1" applyFont="1" applyFill="1" applyBorder="1" applyAlignment="1">
      <alignment horizontal="left" vertical="center"/>
    </xf>
    <xf numFmtId="196" fontId="6" fillId="0" borderId="29" xfId="0" applyNumberFormat="1" applyFont="1" applyBorder="1" applyAlignment="1">
      <alignment horizontal="left"/>
    </xf>
    <xf numFmtId="1" fontId="6" fillId="0" borderId="3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9" fontId="7" fillId="0" borderId="16" xfId="0" applyNumberFormat="1" applyFont="1" applyBorder="1" applyAlignment="1">
      <alignment horizontal="center" vertical="center"/>
    </xf>
    <xf numFmtId="189" fontId="6" fillId="0" borderId="16" xfId="0" applyNumberFormat="1" applyFont="1" applyBorder="1" applyAlignment="1">
      <alignment vertical="center"/>
    </xf>
    <xf numFmtId="196" fontId="6" fillId="0" borderId="16" xfId="0" applyNumberFormat="1" applyFont="1" applyBorder="1" applyAlignment="1">
      <alignment vertical="center"/>
    </xf>
    <xf numFmtId="3" fontId="6" fillId="0" borderId="16" xfId="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9" fontId="6" fillId="0" borderId="5" xfId="0" applyNumberFormat="1" applyFont="1" applyBorder="1" applyAlignment="1">
      <alignment horizontal="center" vertical="center"/>
    </xf>
    <xf numFmtId="189" fontId="6" fillId="0" borderId="5" xfId="0" applyNumberFormat="1" applyFont="1" applyBorder="1" applyAlignment="1">
      <alignment vertical="center"/>
    </xf>
    <xf numFmtId="196" fontId="6" fillId="0" borderId="5" xfId="0" applyNumberFormat="1" applyFont="1" applyBorder="1" applyAlignment="1">
      <alignment vertical="center"/>
    </xf>
    <xf numFmtId="3" fontId="6" fillId="0" borderId="5" xfId="15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9" fontId="7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89" fontId="6" fillId="0" borderId="24" xfId="0" applyNumberFormat="1" applyFont="1" applyBorder="1" applyAlignment="1">
      <alignment horizontal="center" vertical="center"/>
    </xf>
    <xf numFmtId="189" fontId="6" fillId="0" borderId="24" xfId="0" applyNumberFormat="1" applyFont="1" applyBorder="1" applyAlignment="1">
      <alignment vertical="center"/>
    </xf>
    <xf numFmtId="196" fontId="6" fillId="0" borderId="24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89" fontId="6" fillId="0" borderId="34" xfId="0" applyNumberFormat="1" applyFont="1" applyBorder="1" applyAlignment="1">
      <alignment horizontal="center"/>
    </xf>
    <xf numFmtId="189" fontId="6" fillId="0" borderId="34" xfId="0" applyNumberFormat="1" applyFont="1" applyBorder="1" applyAlignment="1">
      <alignment/>
    </xf>
    <xf numFmtId="196" fontId="6" fillId="0" borderId="34" xfId="0" applyNumberFormat="1" applyFont="1" applyBorder="1" applyAlignment="1">
      <alignment/>
    </xf>
    <xf numFmtId="3" fontId="6" fillId="0" borderId="34" xfId="15" applyNumberFormat="1" applyFont="1" applyBorder="1" applyAlignment="1">
      <alignment horizontal="right"/>
    </xf>
    <xf numFmtId="0" fontId="6" fillId="0" borderId="34" xfId="0" applyFont="1" applyBorder="1" applyAlignment="1">
      <alignment horizontal="left"/>
    </xf>
    <xf numFmtId="196" fontId="6" fillId="0" borderId="29" xfId="0" applyNumberFormat="1" applyFont="1" applyBorder="1" applyAlignment="1">
      <alignment horizontal="center"/>
    </xf>
    <xf numFmtId="196" fontId="6" fillId="0" borderId="22" xfId="0" applyNumberFormat="1" applyFont="1" applyBorder="1" applyAlignment="1">
      <alignment horizontal="center"/>
    </xf>
    <xf numFmtId="196" fontId="6" fillId="0" borderId="38" xfId="0" applyNumberFormat="1" applyFont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89" fontId="5" fillId="2" borderId="39" xfId="0" applyNumberFormat="1" applyFont="1" applyFill="1" applyBorder="1" applyAlignment="1">
      <alignment horizontal="center" vertical="center"/>
    </xf>
    <xf numFmtId="196" fontId="1" fillId="2" borderId="28" xfId="0" applyNumberFormat="1" applyFont="1" applyFill="1" applyBorder="1" applyAlignment="1">
      <alignment horizontal="center" vertical="center"/>
    </xf>
    <xf numFmtId="196" fontId="1" fillId="2" borderId="23" xfId="0" applyNumberFormat="1" applyFont="1" applyFill="1" applyBorder="1" applyAlignment="1">
      <alignment horizontal="center" vertical="center"/>
    </xf>
    <xf numFmtId="196" fontId="1" fillId="2" borderId="4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96" fontId="5" fillId="2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96" fontId="6" fillId="0" borderId="41" xfId="0" applyNumberFormat="1" applyFont="1" applyBorder="1" applyAlignment="1">
      <alignment vertical="center"/>
    </xf>
    <xf numFmtId="3" fontId="6" fillId="0" borderId="41" xfId="15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26">
      <selection activeCell="L39" sqref="L39"/>
    </sheetView>
  </sheetViews>
  <sheetFormatPr defaultColWidth="9.140625" defaultRowHeight="21.75"/>
  <cols>
    <col min="1" max="1" width="3.7109375" style="3" customWidth="1"/>
    <col min="2" max="2" width="6.140625" style="3" customWidth="1"/>
    <col min="3" max="3" width="11.7109375" style="3" customWidth="1"/>
    <col min="4" max="4" width="6.7109375" style="3" customWidth="1"/>
    <col min="5" max="5" width="4.7109375" style="3" customWidth="1"/>
    <col min="6" max="6" width="6.7109375" style="3" customWidth="1"/>
    <col min="7" max="7" width="14.7109375" style="1" customWidth="1"/>
    <col min="8" max="8" width="8.7109375" style="4" customWidth="1"/>
    <col min="9" max="9" width="6.7109375" style="1" customWidth="1"/>
    <col min="10" max="10" width="13.7109375" style="54" customWidth="1"/>
    <col min="11" max="11" width="6.7109375" style="1" customWidth="1"/>
    <col min="12" max="12" width="18.57421875" style="2" bestFit="1" customWidth="1"/>
    <col min="13" max="16384" width="9.140625" style="1" customWidth="1"/>
  </cols>
  <sheetData>
    <row r="1" spans="1:12" ht="30">
      <c r="A1" s="119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s="5" customFormat="1" ht="23.25">
      <c r="A2" s="115" t="s">
        <v>7</v>
      </c>
      <c r="B2" s="115" t="s">
        <v>0</v>
      </c>
      <c r="C2" s="115" t="s">
        <v>6</v>
      </c>
      <c r="D2" s="122" t="s">
        <v>5</v>
      </c>
      <c r="E2" s="123"/>
      <c r="F2" s="123"/>
      <c r="G2" s="125" t="s">
        <v>1</v>
      </c>
      <c r="H2" s="118" t="s">
        <v>4</v>
      </c>
      <c r="I2" s="115" t="s">
        <v>2</v>
      </c>
      <c r="J2" s="124" t="s">
        <v>3</v>
      </c>
      <c r="K2" s="46" t="s">
        <v>37</v>
      </c>
      <c r="L2" s="116" t="s">
        <v>40</v>
      </c>
    </row>
    <row r="3" spans="1:12" s="5" customFormat="1" ht="23.25">
      <c r="A3" s="115"/>
      <c r="B3" s="115"/>
      <c r="C3" s="115"/>
      <c r="D3" s="47" t="s">
        <v>8</v>
      </c>
      <c r="E3" s="48" t="s">
        <v>10</v>
      </c>
      <c r="F3" s="49" t="s">
        <v>9</v>
      </c>
      <c r="G3" s="125"/>
      <c r="H3" s="118"/>
      <c r="I3" s="115"/>
      <c r="J3" s="124"/>
      <c r="K3" s="50" t="s">
        <v>38</v>
      </c>
      <c r="L3" s="117"/>
    </row>
    <row r="4" spans="1:12" s="5" customFormat="1" ht="25.5">
      <c r="A4" s="6">
        <v>1</v>
      </c>
      <c r="B4" s="7" t="s">
        <v>11</v>
      </c>
      <c r="C4" s="6">
        <v>2004</v>
      </c>
      <c r="D4" s="8">
        <v>27</v>
      </c>
      <c r="E4" s="9">
        <v>0</v>
      </c>
      <c r="F4" s="10">
        <f>E4+D4</f>
        <v>27</v>
      </c>
      <c r="G4" s="7" t="s">
        <v>46</v>
      </c>
      <c r="H4" s="11">
        <v>0.7958</v>
      </c>
      <c r="I4" s="12">
        <v>1.5147</v>
      </c>
      <c r="J4" s="43">
        <f>LOG(1.8625)</f>
        <v>0.2700962814203305</v>
      </c>
      <c r="K4" s="51">
        <v>6355</v>
      </c>
      <c r="L4" s="13"/>
    </row>
    <row r="5" spans="1:12" s="5" customFormat="1" ht="25.5">
      <c r="A5" s="14"/>
      <c r="B5" s="14"/>
      <c r="C5" s="14" t="s">
        <v>94</v>
      </c>
      <c r="D5" s="15">
        <v>320</v>
      </c>
      <c r="E5" s="16">
        <v>0</v>
      </c>
      <c r="F5" s="17">
        <f aca="true" t="shared" si="0" ref="F5:F39">E5+D5</f>
        <v>320</v>
      </c>
      <c r="G5" s="14" t="s">
        <v>47</v>
      </c>
      <c r="H5" s="18">
        <v>0.8909</v>
      </c>
      <c r="I5" s="19">
        <v>1.5474</v>
      </c>
      <c r="J5" s="44">
        <f>LOG(1.3901)</f>
        <v>0.14304604333758777</v>
      </c>
      <c r="K5" s="52"/>
      <c r="L5" s="20"/>
    </row>
    <row r="6" spans="1:12" s="5" customFormat="1" ht="25.5">
      <c r="A6" s="14">
        <f>+A4+1</f>
        <v>2</v>
      </c>
      <c r="B6" s="21" t="s">
        <v>12</v>
      </c>
      <c r="C6" s="14">
        <v>2004</v>
      </c>
      <c r="D6" s="22">
        <v>29</v>
      </c>
      <c r="E6" s="16">
        <v>0</v>
      </c>
      <c r="F6" s="17">
        <f t="shared" si="0"/>
        <v>29</v>
      </c>
      <c r="G6" s="21" t="s">
        <v>48</v>
      </c>
      <c r="H6" s="23">
        <v>0.9218</v>
      </c>
      <c r="I6" s="19">
        <v>1.359</v>
      </c>
      <c r="J6" s="44">
        <f>LOG(5.0585)</f>
        <v>0.7040217543300147</v>
      </c>
      <c r="K6" s="52">
        <v>1902</v>
      </c>
      <c r="L6" s="20"/>
    </row>
    <row r="7" spans="1:12" s="5" customFormat="1" ht="25.5">
      <c r="A7" s="14"/>
      <c r="B7" s="14"/>
      <c r="C7" s="14" t="s">
        <v>95</v>
      </c>
      <c r="D7" s="15">
        <v>330</v>
      </c>
      <c r="E7" s="16">
        <v>0</v>
      </c>
      <c r="F7" s="17">
        <f t="shared" si="0"/>
        <v>330</v>
      </c>
      <c r="G7" s="14" t="s">
        <v>49</v>
      </c>
      <c r="H7" s="18">
        <v>0.9177</v>
      </c>
      <c r="I7" s="19">
        <v>1.5121</v>
      </c>
      <c r="J7" s="44">
        <f>LOG(4.0115)</f>
        <v>0.6033067965385138</v>
      </c>
      <c r="K7" s="52"/>
      <c r="L7" s="20"/>
    </row>
    <row r="8" spans="1:12" s="5" customFormat="1" ht="25.5">
      <c r="A8" s="14">
        <f>+A6+1</f>
        <v>3</v>
      </c>
      <c r="B8" s="21" t="s">
        <v>23</v>
      </c>
      <c r="C8" s="14">
        <v>2004</v>
      </c>
      <c r="D8" s="22">
        <v>27</v>
      </c>
      <c r="E8" s="16">
        <v>0</v>
      </c>
      <c r="F8" s="17">
        <f t="shared" si="0"/>
        <v>27</v>
      </c>
      <c r="G8" s="21" t="s">
        <v>50</v>
      </c>
      <c r="H8" s="23">
        <v>0.5716</v>
      </c>
      <c r="I8" s="19">
        <v>2.0922</v>
      </c>
      <c r="J8" s="44">
        <f>LOG(1.1109)</f>
        <v>0.04567496676910503</v>
      </c>
      <c r="K8" s="52">
        <v>3853</v>
      </c>
      <c r="L8" s="20"/>
    </row>
    <row r="9" spans="1:12" s="5" customFormat="1" ht="25.5">
      <c r="A9" s="14"/>
      <c r="B9" s="14"/>
      <c r="C9" s="14" t="s">
        <v>96</v>
      </c>
      <c r="D9" s="15">
        <v>377</v>
      </c>
      <c r="E9" s="16">
        <v>0</v>
      </c>
      <c r="F9" s="17">
        <f t="shared" si="0"/>
        <v>377</v>
      </c>
      <c r="G9" s="14" t="s">
        <v>51</v>
      </c>
      <c r="H9" s="18">
        <v>0.7378</v>
      </c>
      <c r="I9" s="19">
        <v>2.1277</v>
      </c>
      <c r="J9" s="44">
        <f>LOG(0.5321)</f>
        <v>-0.27400674107527756</v>
      </c>
      <c r="K9" s="52"/>
      <c r="L9" s="20"/>
    </row>
    <row r="10" spans="1:12" s="5" customFormat="1" ht="25.5">
      <c r="A10" s="14">
        <f>+A8+1</f>
        <v>4</v>
      </c>
      <c r="B10" s="21" t="s">
        <v>41</v>
      </c>
      <c r="C10" s="14">
        <v>2004</v>
      </c>
      <c r="D10" s="22">
        <v>30</v>
      </c>
      <c r="E10" s="16">
        <v>0</v>
      </c>
      <c r="F10" s="17">
        <f>E10+D10</f>
        <v>30</v>
      </c>
      <c r="G10" s="21" t="s">
        <v>52</v>
      </c>
      <c r="H10" s="23">
        <v>0.8432</v>
      </c>
      <c r="I10" s="19">
        <v>1.3279</v>
      </c>
      <c r="J10" s="44">
        <f>LOG(4.2356)</f>
        <v>0.6269149396329802</v>
      </c>
      <c r="K10" s="52">
        <v>515</v>
      </c>
      <c r="L10" s="20"/>
    </row>
    <row r="11" spans="1:12" s="5" customFormat="1" ht="25.5">
      <c r="A11" s="14"/>
      <c r="B11" s="14"/>
      <c r="C11" s="14" t="s">
        <v>97</v>
      </c>
      <c r="D11" s="15">
        <v>99</v>
      </c>
      <c r="E11" s="16">
        <v>0</v>
      </c>
      <c r="F11" s="17">
        <f>E11+D11</f>
        <v>99</v>
      </c>
      <c r="G11" s="14" t="s">
        <v>53</v>
      </c>
      <c r="H11" s="18">
        <v>0.9104</v>
      </c>
      <c r="I11" s="19">
        <v>1.3509</v>
      </c>
      <c r="J11" s="44">
        <f>LOG(5.0914)</f>
        <v>0.7068372182254374</v>
      </c>
      <c r="K11" s="52"/>
      <c r="L11" s="20"/>
    </row>
    <row r="12" spans="1:12" s="5" customFormat="1" ht="25.5">
      <c r="A12" s="14">
        <f>+A10+1</f>
        <v>5</v>
      </c>
      <c r="B12" s="21" t="s">
        <v>24</v>
      </c>
      <c r="C12" s="14">
        <v>2004</v>
      </c>
      <c r="D12" s="22">
        <v>28</v>
      </c>
      <c r="E12" s="16">
        <v>0</v>
      </c>
      <c r="F12" s="17">
        <f t="shared" si="0"/>
        <v>28</v>
      </c>
      <c r="G12" s="21" t="s">
        <v>54</v>
      </c>
      <c r="H12" s="23">
        <v>0.9466</v>
      </c>
      <c r="I12" s="19">
        <v>1.3292</v>
      </c>
      <c r="J12" s="44">
        <f>LOG(6.2617)</f>
        <v>0.7966922565952371</v>
      </c>
      <c r="K12" s="52">
        <v>539</v>
      </c>
      <c r="L12" s="20"/>
    </row>
    <row r="13" spans="1:12" s="5" customFormat="1" ht="25.5">
      <c r="A13" s="14"/>
      <c r="B13" s="14"/>
      <c r="C13" s="14" t="s">
        <v>98</v>
      </c>
      <c r="D13" s="15">
        <v>122</v>
      </c>
      <c r="E13" s="16">
        <v>0</v>
      </c>
      <c r="F13" s="17">
        <f t="shared" si="0"/>
        <v>122</v>
      </c>
      <c r="G13" s="14" t="s">
        <v>55</v>
      </c>
      <c r="H13" s="18">
        <v>0.9427</v>
      </c>
      <c r="I13" s="19">
        <v>1.3553</v>
      </c>
      <c r="J13" s="44">
        <f>LOG(5.1699)</f>
        <v>0.7134821427325867</v>
      </c>
      <c r="K13" s="52"/>
      <c r="L13" s="20"/>
    </row>
    <row r="14" spans="1:12" s="5" customFormat="1" ht="25.5">
      <c r="A14" s="14">
        <f>+A12+1</f>
        <v>6</v>
      </c>
      <c r="B14" s="21" t="s">
        <v>43</v>
      </c>
      <c r="C14" s="14">
        <v>2004</v>
      </c>
      <c r="D14" s="22">
        <v>31</v>
      </c>
      <c r="E14" s="16">
        <v>0</v>
      </c>
      <c r="F14" s="17">
        <f aca="true" t="shared" si="1" ref="F14:F19">E14+D14</f>
        <v>31</v>
      </c>
      <c r="G14" s="21" t="s">
        <v>56</v>
      </c>
      <c r="H14" s="23">
        <v>0.7156</v>
      </c>
      <c r="I14" s="19">
        <v>1.1664</v>
      </c>
      <c r="J14" s="44">
        <f>LOG(2.2001)</f>
        <v>0.3424424210318368</v>
      </c>
      <c r="K14" s="52">
        <v>16815</v>
      </c>
      <c r="L14" s="20"/>
    </row>
    <row r="15" spans="1:12" s="5" customFormat="1" ht="25.5">
      <c r="A15" s="14"/>
      <c r="B15" s="14"/>
      <c r="C15" s="14" t="s">
        <v>97</v>
      </c>
      <c r="D15" s="15">
        <v>105</v>
      </c>
      <c r="E15" s="16">
        <v>0</v>
      </c>
      <c r="F15" s="17">
        <f t="shared" si="1"/>
        <v>105</v>
      </c>
      <c r="G15" s="14" t="s">
        <v>57</v>
      </c>
      <c r="H15" s="18">
        <v>0.8765</v>
      </c>
      <c r="I15" s="19">
        <v>1.3113</v>
      </c>
      <c r="J15" s="44">
        <f>LOG(1.648)</f>
        <v>0.21695720736109697</v>
      </c>
      <c r="K15" s="52"/>
      <c r="L15" s="20"/>
    </row>
    <row r="16" spans="1:12" s="5" customFormat="1" ht="25.5">
      <c r="A16" s="14">
        <f>+A14+1</f>
        <v>7</v>
      </c>
      <c r="B16" s="21" t="s">
        <v>44</v>
      </c>
      <c r="C16" s="14">
        <v>2004</v>
      </c>
      <c r="D16" s="22">
        <v>29</v>
      </c>
      <c r="E16" s="16">
        <v>0</v>
      </c>
      <c r="F16" s="17">
        <f t="shared" si="1"/>
        <v>29</v>
      </c>
      <c r="G16" s="21" t="s">
        <v>58</v>
      </c>
      <c r="H16" s="23">
        <v>0.7379</v>
      </c>
      <c r="I16" s="19">
        <v>1.4281</v>
      </c>
      <c r="J16" s="44">
        <f>LOG(1.8054)</f>
        <v>0.2565734381237242</v>
      </c>
      <c r="K16" s="52">
        <v>3090</v>
      </c>
      <c r="L16" s="20"/>
    </row>
    <row r="17" spans="1:12" s="5" customFormat="1" ht="25.5">
      <c r="A17" s="14"/>
      <c r="B17" s="14"/>
      <c r="C17" s="14" t="s">
        <v>97</v>
      </c>
      <c r="D17" s="15">
        <v>102</v>
      </c>
      <c r="E17" s="16">
        <v>0</v>
      </c>
      <c r="F17" s="17">
        <f t="shared" si="1"/>
        <v>102</v>
      </c>
      <c r="G17" s="14" t="s">
        <v>59</v>
      </c>
      <c r="H17" s="18">
        <v>0.8162</v>
      </c>
      <c r="I17" s="19">
        <v>1.7557</v>
      </c>
      <c r="J17" s="44">
        <f>LOG(0.6156)</f>
        <v>-0.21070138884055886</v>
      </c>
      <c r="K17" s="52"/>
      <c r="L17" s="20"/>
    </row>
    <row r="18" spans="1:12" s="5" customFormat="1" ht="25.5">
      <c r="A18" s="14">
        <f>+A16+1</f>
        <v>8</v>
      </c>
      <c r="B18" s="21" t="s">
        <v>45</v>
      </c>
      <c r="C18" s="14">
        <v>2004</v>
      </c>
      <c r="D18" s="22">
        <v>15</v>
      </c>
      <c r="E18" s="16">
        <v>0</v>
      </c>
      <c r="F18" s="17">
        <f t="shared" si="1"/>
        <v>15</v>
      </c>
      <c r="G18" s="21" t="s">
        <v>60</v>
      </c>
      <c r="H18" s="23">
        <v>0.6158</v>
      </c>
      <c r="I18" s="19">
        <v>1.4243</v>
      </c>
      <c r="J18" s="44">
        <f>LOG(4.0174)</f>
        <v>0.6039450752328426</v>
      </c>
      <c r="K18" s="52">
        <v>1541</v>
      </c>
      <c r="L18" s="24"/>
    </row>
    <row r="19" spans="1:12" s="5" customFormat="1" ht="25.5">
      <c r="A19" s="14"/>
      <c r="B19" s="14"/>
      <c r="C19" s="14" t="s">
        <v>97</v>
      </c>
      <c r="D19" s="15">
        <v>88</v>
      </c>
      <c r="E19" s="16">
        <v>0</v>
      </c>
      <c r="F19" s="17">
        <f t="shared" si="1"/>
        <v>88</v>
      </c>
      <c r="G19" s="14" t="s">
        <v>61</v>
      </c>
      <c r="H19" s="18">
        <v>0.86</v>
      </c>
      <c r="I19" s="19">
        <v>1.2347</v>
      </c>
      <c r="J19" s="44">
        <f>LOG(4.2084)</f>
        <v>0.6241170119291274</v>
      </c>
      <c r="K19" s="52"/>
      <c r="L19" s="24"/>
    </row>
    <row r="20" spans="1:12" s="5" customFormat="1" ht="25.5">
      <c r="A20" s="14">
        <f>+A18+1</f>
        <v>9</v>
      </c>
      <c r="B20" s="21" t="s">
        <v>25</v>
      </c>
      <c r="C20" s="14">
        <v>2004</v>
      </c>
      <c r="D20" s="22">
        <v>27</v>
      </c>
      <c r="E20" s="16">
        <v>0</v>
      </c>
      <c r="F20" s="17">
        <f t="shared" si="0"/>
        <v>27</v>
      </c>
      <c r="G20" s="21" t="s">
        <v>62</v>
      </c>
      <c r="H20" s="23">
        <v>0.8739</v>
      </c>
      <c r="I20" s="19">
        <v>1.0532</v>
      </c>
      <c r="J20" s="44">
        <f>LOG(5.9977)</f>
        <v>0.7779847389155099</v>
      </c>
      <c r="K20" s="52">
        <v>547</v>
      </c>
      <c r="L20" s="24"/>
    </row>
    <row r="21" spans="1:12" s="5" customFormat="1" ht="25.5">
      <c r="A21" s="14"/>
      <c r="B21" s="14"/>
      <c r="C21" s="14" t="s">
        <v>99</v>
      </c>
      <c r="D21" s="15">
        <v>123</v>
      </c>
      <c r="E21" s="16">
        <v>0</v>
      </c>
      <c r="F21" s="17">
        <f t="shared" si="0"/>
        <v>123</v>
      </c>
      <c r="G21" s="39" t="s">
        <v>63</v>
      </c>
      <c r="H21" s="40">
        <v>0.9221</v>
      </c>
      <c r="I21" s="19">
        <v>1.2366</v>
      </c>
      <c r="J21" s="44">
        <f>LOG(4.7253)</f>
        <v>0.6744293862227649</v>
      </c>
      <c r="K21" s="52"/>
      <c r="L21" s="24"/>
    </row>
    <row r="22" spans="1:12" s="5" customFormat="1" ht="25.5">
      <c r="A22" s="14">
        <f>+A20+1</f>
        <v>10</v>
      </c>
      <c r="B22" s="21" t="s">
        <v>16</v>
      </c>
      <c r="C22" s="14">
        <v>2004</v>
      </c>
      <c r="D22" s="22">
        <v>24</v>
      </c>
      <c r="E22" s="16">
        <v>0</v>
      </c>
      <c r="F22" s="17">
        <f t="shared" si="0"/>
        <v>24</v>
      </c>
      <c r="G22" s="21" t="s">
        <v>64</v>
      </c>
      <c r="H22" s="23">
        <v>0.922</v>
      </c>
      <c r="I22" s="19">
        <v>1.5429</v>
      </c>
      <c r="J22" s="44">
        <f>LOG(1.1168)</f>
        <v>0.04797540527908588</v>
      </c>
      <c r="K22" s="52">
        <v>8985</v>
      </c>
      <c r="L22" s="24"/>
    </row>
    <row r="23" spans="1:12" s="5" customFormat="1" ht="25.5">
      <c r="A23" s="14"/>
      <c r="B23" s="14"/>
      <c r="C23" s="14" t="s">
        <v>98</v>
      </c>
      <c r="D23" s="15">
        <v>174</v>
      </c>
      <c r="E23" s="16">
        <v>0</v>
      </c>
      <c r="F23" s="17">
        <f t="shared" si="0"/>
        <v>174</v>
      </c>
      <c r="G23" s="14" t="s">
        <v>65</v>
      </c>
      <c r="H23" s="18">
        <v>0.9374</v>
      </c>
      <c r="I23" s="19">
        <v>1.4721</v>
      </c>
      <c r="J23" s="44">
        <f>LOG(1.3552)</f>
        <v>0.1320033929866317</v>
      </c>
      <c r="K23" s="52"/>
      <c r="L23" s="24"/>
    </row>
    <row r="24" spans="1:12" s="5" customFormat="1" ht="25.5">
      <c r="A24" s="14">
        <f>+A22+1</f>
        <v>11</v>
      </c>
      <c r="B24" s="21" t="s">
        <v>26</v>
      </c>
      <c r="C24" s="14">
        <v>2004</v>
      </c>
      <c r="D24" s="22">
        <v>24</v>
      </c>
      <c r="E24" s="16">
        <v>0</v>
      </c>
      <c r="F24" s="17">
        <f t="shared" si="0"/>
        <v>24</v>
      </c>
      <c r="G24" s="21" t="s">
        <v>66</v>
      </c>
      <c r="H24" s="23">
        <v>0.8991</v>
      </c>
      <c r="I24" s="19">
        <v>1.649</v>
      </c>
      <c r="J24" s="44">
        <f>LOG(2.6781)</f>
        <v>0.4278267894935236</v>
      </c>
      <c r="K24" s="52">
        <v>1388</v>
      </c>
      <c r="L24" s="24"/>
    </row>
    <row r="25" spans="1:12" s="5" customFormat="1" ht="25.5">
      <c r="A25" s="14"/>
      <c r="B25" s="14"/>
      <c r="C25" s="14" t="s">
        <v>99</v>
      </c>
      <c r="D25" s="15">
        <v>102</v>
      </c>
      <c r="E25" s="16">
        <v>0</v>
      </c>
      <c r="F25" s="17">
        <f t="shared" si="0"/>
        <v>102</v>
      </c>
      <c r="G25" s="14" t="s">
        <v>67</v>
      </c>
      <c r="H25" s="18">
        <v>0.9383</v>
      </c>
      <c r="I25" s="19">
        <v>1.5194</v>
      </c>
      <c r="J25" s="44">
        <f>LOG(3.1475)</f>
        <v>0.4979657387799002</v>
      </c>
      <c r="K25" s="52"/>
      <c r="L25" s="24"/>
    </row>
    <row r="26" spans="1:12" s="5" customFormat="1" ht="25.5">
      <c r="A26" s="14">
        <f>+A24+1</f>
        <v>12</v>
      </c>
      <c r="B26" s="42" t="s">
        <v>17</v>
      </c>
      <c r="C26" s="41">
        <v>2004</v>
      </c>
      <c r="D26" s="62">
        <v>24</v>
      </c>
      <c r="E26" s="63">
        <v>0</v>
      </c>
      <c r="F26" s="64">
        <f t="shared" si="0"/>
        <v>24</v>
      </c>
      <c r="G26" s="42" t="s">
        <v>68</v>
      </c>
      <c r="H26" s="65">
        <v>0.8329</v>
      </c>
      <c r="I26" s="66">
        <v>1.5602</v>
      </c>
      <c r="J26" s="67">
        <f>LOG(3.5482)</f>
        <v>0.5500080915566347</v>
      </c>
      <c r="K26" s="68">
        <v>619</v>
      </c>
      <c r="L26" s="24"/>
    </row>
    <row r="27" spans="1:12" s="5" customFormat="1" ht="25.5">
      <c r="A27" s="14"/>
      <c r="B27" s="14"/>
      <c r="C27" s="14" t="s">
        <v>100</v>
      </c>
      <c r="D27" s="15">
        <v>215</v>
      </c>
      <c r="E27" s="16">
        <v>0</v>
      </c>
      <c r="F27" s="17">
        <f t="shared" si="0"/>
        <v>215</v>
      </c>
      <c r="G27" s="14" t="s">
        <v>69</v>
      </c>
      <c r="H27" s="18">
        <v>0.8642</v>
      </c>
      <c r="I27" s="19">
        <v>1.4536</v>
      </c>
      <c r="J27" s="44">
        <f>LOG(3.3891)</f>
        <v>0.5300843834751656</v>
      </c>
      <c r="K27" s="52"/>
      <c r="L27" s="24"/>
    </row>
    <row r="28" spans="1:12" s="5" customFormat="1" ht="25.5">
      <c r="A28" s="14">
        <f>+A26+1</f>
        <v>13</v>
      </c>
      <c r="B28" s="21" t="s">
        <v>27</v>
      </c>
      <c r="C28" s="14">
        <v>2004</v>
      </c>
      <c r="D28" s="22">
        <v>24</v>
      </c>
      <c r="E28" s="16">
        <v>0</v>
      </c>
      <c r="F28" s="17">
        <f t="shared" si="0"/>
        <v>24</v>
      </c>
      <c r="G28" s="21" t="s">
        <v>70</v>
      </c>
      <c r="H28" s="23">
        <v>0.9486</v>
      </c>
      <c r="I28" s="19">
        <v>1.3391</v>
      </c>
      <c r="J28" s="44">
        <f>LOG(5.1748)</f>
        <v>0.7138935694768092</v>
      </c>
      <c r="K28" s="52">
        <v>1065</v>
      </c>
      <c r="L28" s="20"/>
    </row>
    <row r="29" spans="1:12" s="5" customFormat="1" ht="25.5">
      <c r="A29" s="61"/>
      <c r="B29" s="14"/>
      <c r="C29" s="14" t="s">
        <v>100</v>
      </c>
      <c r="D29" s="15">
        <v>214</v>
      </c>
      <c r="E29" s="16">
        <v>0</v>
      </c>
      <c r="F29" s="17">
        <f t="shared" si="0"/>
        <v>214</v>
      </c>
      <c r="G29" s="14" t="s">
        <v>71</v>
      </c>
      <c r="H29" s="18">
        <v>0.9359</v>
      </c>
      <c r="I29" s="19">
        <v>1.3651</v>
      </c>
      <c r="J29" s="44">
        <f>LOG(4.2229)</f>
        <v>0.62561079727563</v>
      </c>
      <c r="K29" s="52"/>
      <c r="L29" s="20"/>
    </row>
    <row r="30" spans="1:12" s="5" customFormat="1" ht="25.5">
      <c r="A30" s="14">
        <f>+A28+1</f>
        <v>14</v>
      </c>
      <c r="B30" s="21" t="s">
        <v>18</v>
      </c>
      <c r="C30" s="14">
        <v>2004</v>
      </c>
      <c r="D30" s="22">
        <v>24</v>
      </c>
      <c r="E30" s="16">
        <v>0</v>
      </c>
      <c r="F30" s="17">
        <f t="shared" si="0"/>
        <v>24</v>
      </c>
      <c r="G30" s="21" t="s">
        <v>72</v>
      </c>
      <c r="H30" s="23">
        <v>0.949</v>
      </c>
      <c r="I30" s="19">
        <v>1.3729</v>
      </c>
      <c r="J30" s="44">
        <f>LOG(3.1007)</f>
        <v>0.49145974925982905</v>
      </c>
      <c r="K30" s="52">
        <v>3415</v>
      </c>
      <c r="L30" s="20"/>
    </row>
    <row r="31" spans="1:12" s="5" customFormat="1" ht="25.5">
      <c r="A31" s="103"/>
      <c r="B31" s="103"/>
      <c r="C31" s="103" t="s">
        <v>101</v>
      </c>
      <c r="D31" s="104">
        <v>135</v>
      </c>
      <c r="E31" s="105">
        <v>0</v>
      </c>
      <c r="F31" s="106">
        <f t="shared" si="0"/>
        <v>135</v>
      </c>
      <c r="G31" s="103" t="s">
        <v>73</v>
      </c>
      <c r="H31" s="107">
        <v>0.9284</v>
      </c>
      <c r="I31" s="108">
        <v>1.3297</v>
      </c>
      <c r="J31" s="109">
        <f>LOG(3.9268)</f>
        <v>0.594038782322546</v>
      </c>
      <c r="K31" s="110"/>
      <c r="L31" s="111"/>
    </row>
    <row r="32" spans="1:12" s="5" customFormat="1" ht="25.5">
      <c r="A32" s="72">
        <v>15</v>
      </c>
      <c r="B32" s="73" t="s">
        <v>19</v>
      </c>
      <c r="C32" s="72">
        <v>2004</v>
      </c>
      <c r="D32" s="74">
        <v>21</v>
      </c>
      <c r="E32" s="75">
        <v>0</v>
      </c>
      <c r="F32" s="76">
        <f>E32+D32</f>
        <v>21</v>
      </c>
      <c r="G32" s="73" t="s">
        <v>103</v>
      </c>
      <c r="H32" s="77">
        <v>0.9456</v>
      </c>
      <c r="I32" s="78">
        <v>1.5599</v>
      </c>
      <c r="J32" s="126">
        <f>LOG(2.397)</f>
        <v>0.3796680340336538</v>
      </c>
      <c r="K32" s="127">
        <v>7624</v>
      </c>
      <c r="L32" s="128"/>
    </row>
    <row r="33" spans="1:12" s="5" customFormat="1" ht="25.5">
      <c r="A33" s="82"/>
      <c r="B33" s="82"/>
      <c r="C33" s="82" t="s">
        <v>98</v>
      </c>
      <c r="D33" s="83">
        <v>156</v>
      </c>
      <c r="E33" s="84">
        <v>0</v>
      </c>
      <c r="F33" s="85">
        <f>E33+D33</f>
        <v>156</v>
      </c>
      <c r="G33" s="82" t="s">
        <v>104</v>
      </c>
      <c r="H33" s="86">
        <v>0.3669</v>
      </c>
      <c r="I33" s="87">
        <v>0.9441</v>
      </c>
      <c r="J33" s="88">
        <f>LOG(15.019)</f>
        <v>1.176641017292667</v>
      </c>
      <c r="K33" s="89"/>
      <c r="L33" s="20"/>
    </row>
    <row r="34" spans="1:12" s="81" customFormat="1" ht="22.5" customHeight="1">
      <c r="A34" s="72">
        <f>+A32+1</f>
        <v>16</v>
      </c>
      <c r="B34" s="73" t="s">
        <v>20</v>
      </c>
      <c r="C34" s="72">
        <v>2004</v>
      </c>
      <c r="D34" s="74">
        <v>28</v>
      </c>
      <c r="E34" s="75">
        <v>0</v>
      </c>
      <c r="F34" s="76">
        <f t="shared" si="0"/>
        <v>28</v>
      </c>
      <c r="G34" s="73" t="s">
        <v>74</v>
      </c>
      <c r="H34" s="77">
        <v>0.9498</v>
      </c>
      <c r="I34" s="78">
        <v>1.2824</v>
      </c>
      <c r="J34" s="88">
        <f>LOG(7.3462)</f>
        <v>0.866062747820057</v>
      </c>
      <c r="K34" s="89">
        <v>597</v>
      </c>
      <c r="L34" s="90"/>
    </row>
    <row r="35" spans="1:12" s="81" customFormat="1" ht="22.5" customHeight="1">
      <c r="A35" s="82"/>
      <c r="B35" s="82"/>
      <c r="C35" s="82" t="s">
        <v>98</v>
      </c>
      <c r="D35" s="83">
        <v>194</v>
      </c>
      <c r="E35" s="84">
        <v>0</v>
      </c>
      <c r="F35" s="85">
        <f t="shared" si="0"/>
        <v>194</v>
      </c>
      <c r="G35" s="82" t="s">
        <v>75</v>
      </c>
      <c r="H35" s="86">
        <v>0.9256</v>
      </c>
      <c r="I35" s="87">
        <v>1.3604</v>
      </c>
      <c r="J35" s="88">
        <f>LOG(5.0369)</f>
        <v>0.7021633286859223</v>
      </c>
      <c r="K35" s="89"/>
      <c r="L35" s="90"/>
    </row>
    <row r="36" spans="1:12" s="81" customFormat="1" ht="22.5" customHeight="1">
      <c r="A36" s="82">
        <f>+A34+1</f>
        <v>17</v>
      </c>
      <c r="B36" s="91" t="s">
        <v>28</v>
      </c>
      <c r="C36" s="82">
        <v>2004</v>
      </c>
      <c r="D36" s="92">
        <v>28</v>
      </c>
      <c r="E36" s="84">
        <v>0</v>
      </c>
      <c r="F36" s="85">
        <f t="shared" si="0"/>
        <v>28</v>
      </c>
      <c r="G36" s="91" t="s">
        <v>76</v>
      </c>
      <c r="H36" s="93">
        <v>0.9066</v>
      </c>
      <c r="I36" s="87">
        <v>1.6154</v>
      </c>
      <c r="J36" s="88">
        <f>LOG(2.1587)</f>
        <v>0.3341922915248737</v>
      </c>
      <c r="K36" s="89">
        <v>822</v>
      </c>
      <c r="L36" s="90"/>
    </row>
    <row r="37" spans="1:12" s="81" customFormat="1" ht="22.5" customHeight="1">
      <c r="A37" s="82"/>
      <c r="B37" s="82"/>
      <c r="C37" s="82" t="s">
        <v>99</v>
      </c>
      <c r="D37" s="83">
        <v>140</v>
      </c>
      <c r="E37" s="84">
        <v>0</v>
      </c>
      <c r="F37" s="85">
        <f t="shared" si="0"/>
        <v>140</v>
      </c>
      <c r="G37" s="82" t="s">
        <v>77</v>
      </c>
      <c r="H37" s="86">
        <v>0.9073</v>
      </c>
      <c r="I37" s="87">
        <v>1.5898</v>
      </c>
      <c r="J37" s="88">
        <f>LOG(1.767)</f>
        <v>0.24723654950676405</v>
      </c>
      <c r="K37" s="89"/>
      <c r="L37" s="90"/>
    </row>
    <row r="38" spans="1:12" s="81" customFormat="1" ht="22.5" customHeight="1">
      <c r="A38" s="82">
        <f>+A36+1</f>
        <v>18</v>
      </c>
      <c r="B38" s="91" t="s">
        <v>29</v>
      </c>
      <c r="C38" s="82">
        <v>2004</v>
      </c>
      <c r="D38" s="92">
        <v>18</v>
      </c>
      <c r="E38" s="84">
        <v>0</v>
      </c>
      <c r="F38" s="85">
        <f t="shared" si="0"/>
        <v>18</v>
      </c>
      <c r="G38" s="91" t="s">
        <v>78</v>
      </c>
      <c r="H38" s="93">
        <v>0.8983</v>
      </c>
      <c r="I38" s="87">
        <v>1.6208</v>
      </c>
      <c r="J38" s="88">
        <f>LOG(0.2518)</f>
        <v>-0.5989442742281562</v>
      </c>
      <c r="K38" s="89">
        <v>8784</v>
      </c>
      <c r="L38" s="90"/>
    </row>
    <row r="39" spans="1:12" s="81" customFormat="1" ht="22.5" customHeight="1">
      <c r="A39" s="82"/>
      <c r="B39" s="82"/>
      <c r="C39" s="82" t="s">
        <v>102</v>
      </c>
      <c r="D39" s="83">
        <v>267</v>
      </c>
      <c r="E39" s="84">
        <v>0</v>
      </c>
      <c r="F39" s="85">
        <f t="shared" si="0"/>
        <v>267</v>
      </c>
      <c r="G39" s="82" t="s">
        <v>79</v>
      </c>
      <c r="H39" s="86">
        <v>0.8876</v>
      </c>
      <c r="I39" s="87">
        <v>1.6078</v>
      </c>
      <c r="J39" s="88">
        <f>LOG(0.3629)</f>
        <v>-0.4402130317994435</v>
      </c>
      <c r="K39" s="89"/>
      <c r="L39" s="90"/>
    </row>
    <row r="40" spans="1:12" s="81" customFormat="1" ht="22.5" customHeight="1">
      <c r="A40" s="82">
        <f>+A38+1</f>
        <v>19</v>
      </c>
      <c r="B40" s="91" t="s">
        <v>30</v>
      </c>
      <c r="C40" s="82">
        <v>2004</v>
      </c>
      <c r="D40" s="92">
        <v>21</v>
      </c>
      <c r="E40" s="84">
        <v>0</v>
      </c>
      <c r="F40" s="85">
        <f aca="true" t="shared" si="2" ref="F40:F45">E40+D40</f>
        <v>21</v>
      </c>
      <c r="G40" s="91" t="s">
        <v>80</v>
      </c>
      <c r="H40" s="93">
        <v>0.8588</v>
      </c>
      <c r="I40" s="87">
        <v>1.4492</v>
      </c>
      <c r="J40" s="88">
        <f>LOG(2.0158)</f>
        <v>0.30444744086617487</v>
      </c>
      <c r="K40" s="89">
        <v>155</v>
      </c>
      <c r="L40" s="90"/>
    </row>
    <row r="41" spans="1:12" s="81" customFormat="1" ht="22.5" customHeight="1">
      <c r="A41" s="82"/>
      <c r="B41" s="82"/>
      <c r="C41" s="82" t="s">
        <v>99</v>
      </c>
      <c r="D41" s="83">
        <v>116</v>
      </c>
      <c r="E41" s="84">
        <v>0</v>
      </c>
      <c r="F41" s="85">
        <f t="shared" si="2"/>
        <v>116</v>
      </c>
      <c r="G41" s="95" t="s">
        <v>81</v>
      </c>
      <c r="H41" s="86">
        <v>0.732</v>
      </c>
      <c r="I41" s="87">
        <v>1.1667</v>
      </c>
      <c r="J41" s="88">
        <f>LOG(2.8324)</f>
        <v>0.4521545857146631</v>
      </c>
      <c r="K41" s="94"/>
      <c r="L41" s="90"/>
    </row>
    <row r="42" spans="1:12" s="81" customFormat="1" ht="22.5" customHeight="1">
      <c r="A42" s="82">
        <f>+A40+1</f>
        <v>20</v>
      </c>
      <c r="B42" s="91" t="s">
        <v>31</v>
      </c>
      <c r="C42" s="82">
        <v>2004</v>
      </c>
      <c r="D42" s="92">
        <v>21</v>
      </c>
      <c r="E42" s="84">
        <v>0</v>
      </c>
      <c r="F42" s="85">
        <f t="shared" si="2"/>
        <v>21</v>
      </c>
      <c r="G42" s="91" t="s">
        <v>82</v>
      </c>
      <c r="H42" s="93">
        <v>0.7619</v>
      </c>
      <c r="I42" s="87">
        <v>1.5721</v>
      </c>
      <c r="J42" s="88">
        <f>LOG(6.7079)</f>
        <v>0.8265865796090769</v>
      </c>
      <c r="K42" s="89">
        <v>788</v>
      </c>
      <c r="L42" s="90"/>
    </row>
    <row r="43" spans="1:12" s="81" customFormat="1" ht="22.5" customHeight="1">
      <c r="A43" s="82"/>
      <c r="B43" s="82"/>
      <c r="C43" s="82" t="s">
        <v>98</v>
      </c>
      <c r="D43" s="83">
        <v>187</v>
      </c>
      <c r="E43" s="84">
        <v>0</v>
      </c>
      <c r="F43" s="85">
        <f t="shared" si="2"/>
        <v>187</v>
      </c>
      <c r="G43" s="82" t="s">
        <v>83</v>
      </c>
      <c r="H43" s="86">
        <v>0.8872</v>
      </c>
      <c r="I43" s="87">
        <v>1.5695</v>
      </c>
      <c r="J43" s="88">
        <f>LOG(5.2511)</f>
        <v>0.7202502889087786</v>
      </c>
      <c r="K43" s="94"/>
      <c r="L43" s="90"/>
    </row>
    <row r="44" spans="1:12" s="81" customFormat="1" ht="22.5" customHeight="1">
      <c r="A44" s="82">
        <f>+A42+1</f>
        <v>21</v>
      </c>
      <c r="B44" s="91" t="s">
        <v>32</v>
      </c>
      <c r="C44" s="82">
        <v>2004</v>
      </c>
      <c r="D44" s="92">
        <v>21</v>
      </c>
      <c r="E44" s="84">
        <v>0</v>
      </c>
      <c r="F44" s="85">
        <f t="shared" si="2"/>
        <v>21</v>
      </c>
      <c r="G44" s="91" t="s">
        <v>84</v>
      </c>
      <c r="H44" s="93">
        <v>0.8558</v>
      </c>
      <c r="I44" s="87">
        <v>1.7618</v>
      </c>
      <c r="J44" s="88">
        <f>LOG(0.8031)</f>
        <v>-0.0952303740934049</v>
      </c>
      <c r="K44" s="89">
        <v>615</v>
      </c>
      <c r="L44" s="90"/>
    </row>
    <row r="45" spans="1:12" s="81" customFormat="1" ht="22.5" customHeight="1">
      <c r="A45" s="82"/>
      <c r="B45" s="82"/>
      <c r="C45" s="82" t="s">
        <v>98</v>
      </c>
      <c r="D45" s="83">
        <v>187</v>
      </c>
      <c r="E45" s="84">
        <v>0</v>
      </c>
      <c r="F45" s="85">
        <f t="shared" si="2"/>
        <v>187</v>
      </c>
      <c r="G45" s="82" t="s">
        <v>85</v>
      </c>
      <c r="H45" s="86">
        <v>0.8697</v>
      </c>
      <c r="I45" s="87">
        <v>1.6147</v>
      </c>
      <c r="J45" s="88">
        <f>LOG(1.1405)</f>
        <v>0.057095289612667396</v>
      </c>
      <c r="K45" s="94"/>
      <c r="L45" s="90"/>
    </row>
    <row r="46" spans="1:12" s="81" customFormat="1" ht="22.5" customHeight="1">
      <c r="A46" s="82">
        <f>+A44+1</f>
        <v>22</v>
      </c>
      <c r="B46" s="91" t="s">
        <v>33</v>
      </c>
      <c r="C46" s="82">
        <v>2004</v>
      </c>
      <c r="D46" s="92">
        <v>21</v>
      </c>
      <c r="E46" s="84">
        <v>0</v>
      </c>
      <c r="F46" s="85">
        <f aca="true" t="shared" si="3" ref="F46:F51">E46+D46</f>
        <v>21</v>
      </c>
      <c r="G46" s="91" t="s">
        <v>86</v>
      </c>
      <c r="H46" s="93">
        <v>0.9015</v>
      </c>
      <c r="I46" s="87">
        <v>1.2385</v>
      </c>
      <c r="J46" s="88">
        <f>LOG(9.765)</f>
        <v>0.9896722476238732</v>
      </c>
      <c r="K46" s="89">
        <v>2934</v>
      </c>
      <c r="L46" s="90"/>
    </row>
    <row r="47" spans="1:12" s="81" customFormat="1" ht="22.5" customHeight="1">
      <c r="A47" s="82"/>
      <c r="B47" s="82"/>
      <c r="C47" s="82" t="s">
        <v>98</v>
      </c>
      <c r="D47" s="83">
        <v>191</v>
      </c>
      <c r="E47" s="84">
        <v>0</v>
      </c>
      <c r="F47" s="85">
        <f t="shared" si="3"/>
        <v>191</v>
      </c>
      <c r="G47" s="82" t="s">
        <v>87</v>
      </c>
      <c r="H47" s="86">
        <v>0.9177</v>
      </c>
      <c r="I47" s="87">
        <v>1.3936</v>
      </c>
      <c r="J47" s="88">
        <f>LOG(5.2396)</f>
        <v>0.7192981334677823</v>
      </c>
      <c r="K47" s="94"/>
      <c r="L47" s="90"/>
    </row>
    <row r="48" spans="1:12" s="81" customFormat="1" ht="22.5" customHeight="1">
      <c r="A48" s="82">
        <f>+A46+1</f>
        <v>23</v>
      </c>
      <c r="B48" s="73" t="s">
        <v>34</v>
      </c>
      <c r="C48" s="72">
        <v>2004</v>
      </c>
      <c r="D48" s="74">
        <v>21</v>
      </c>
      <c r="E48" s="75">
        <v>0</v>
      </c>
      <c r="F48" s="76">
        <f t="shared" si="3"/>
        <v>21</v>
      </c>
      <c r="G48" s="73" t="s">
        <v>88</v>
      </c>
      <c r="H48" s="77">
        <v>0.926</v>
      </c>
      <c r="I48" s="78">
        <v>1.3598</v>
      </c>
      <c r="J48" s="79">
        <f>LOG(8.1572)</f>
        <v>0.9115411105640657</v>
      </c>
      <c r="K48" s="80">
        <v>644</v>
      </c>
      <c r="L48" s="90"/>
    </row>
    <row r="49" spans="1:12" s="81" customFormat="1" ht="22.5" customHeight="1">
      <c r="A49" s="82"/>
      <c r="B49" s="82"/>
      <c r="C49" s="82" t="s">
        <v>98</v>
      </c>
      <c r="D49" s="83">
        <v>187</v>
      </c>
      <c r="E49" s="84">
        <v>0</v>
      </c>
      <c r="F49" s="85">
        <f t="shared" si="3"/>
        <v>187</v>
      </c>
      <c r="G49" s="82" t="s">
        <v>89</v>
      </c>
      <c r="H49" s="86">
        <v>0.7645</v>
      </c>
      <c r="I49" s="87">
        <v>1.4055</v>
      </c>
      <c r="J49" s="88">
        <f>LOG(6.4143)</f>
        <v>0.8071492682362785</v>
      </c>
      <c r="K49" s="94"/>
      <c r="L49" s="90"/>
    </row>
    <row r="50" spans="1:12" s="81" customFormat="1" ht="22.5" customHeight="1">
      <c r="A50" s="82">
        <f>+A48+1</f>
        <v>24</v>
      </c>
      <c r="B50" s="73" t="s">
        <v>35</v>
      </c>
      <c r="C50" s="72">
        <v>2004</v>
      </c>
      <c r="D50" s="74">
        <v>18</v>
      </c>
      <c r="E50" s="75">
        <v>0</v>
      </c>
      <c r="F50" s="76">
        <f t="shared" si="3"/>
        <v>18</v>
      </c>
      <c r="G50" s="73" t="s">
        <v>90</v>
      </c>
      <c r="H50" s="77">
        <v>0.953</v>
      </c>
      <c r="I50" s="78">
        <v>1.4775</v>
      </c>
      <c r="J50" s="79">
        <f>LOG(8.2965)</f>
        <v>0.9188949175248469</v>
      </c>
      <c r="K50" s="80">
        <v>255</v>
      </c>
      <c r="L50" s="90"/>
    </row>
    <row r="51" spans="1:12" s="81" customFormat="1" ht="22.5" customHeight="1">
      <c r="A51" s="82"/>
      <c r="B51" s="82"/>
      <c r="C51" s="82" t="s">
        <v>98</v>
      </c>
      <c r="D51" s="83">
        <v>185</v>
      </c>
      <c r="E51" s="84">
        <v>0</v>
      </c>
      <c r="F51" s="85">
        <f t="shared" si="3"/>
        <v>185</v>
      </c>
      <c r="G51" s="82" t="s">
        <v>91</v>
      </c>
      <c r="H51" s="86">
        <v>0.8428</v>
      </c>
      <c r="I51" s="87">
        <v>1.5163</v>
      </c>
      <c r="J51" s="88">
        <f>LOG(7.0475)</f>
        <v>0.84803508454364</v>
      </c>
      <c r="K51" s="94"/>
      <c r="L51" s="90"/>
    </row>
    <row r="52" spans="1:12" s="81" customFormat="1" ht="22.5" customHeight="1">
      <c r="A52" s="72">
        <f>+A50+1</f>
        <v>25</v>
      </c>
      <c r="B52" s="91" t="s">
        <v>36</v>
      </c>
      <c r="C52" s="82">
        <v>2004</v>
      </c>
      <c r="D52" s="92">
        <v>21</v>
      </c>
      <c r="E52" s="84">
        <v>0</v>
      </c>
      <c r="F52" s="85">
        <f>E52+D52</f>
        <v>21</v>
      </c>
      <c r="G52" s="91" t="s">
        <v>92</v>
      </c>
      <c r="H52" s="93">
        <v>0.9349</v>
      </c>
      <c r="I52" s="87">
        <v>1.0084</v>
      </c>
      <c r="J52" s="88">
        <f>LOG(11.374)</f>
        <v>1.0559132239161488</v>
      </c>
      <c r="K52" s="89">
        <v>6155</v>
      </c>
      <c r="L52" s="90"/>
    </row>
    <row r="53" spans="1:12" s="81" customFormat="1" ht="22.5" customHeight="1">
      <c r="A53" s="82"/>
      <c r="B53" s="96"/>
      <c r="C53" s="96" t="s">
        <v>102</v>
      </c>
      <c r="D53" s="97">
        <v>288</v>
      </c>
      <c r="E53" s="98">
        <v>0</v>
      </c>
      <c r="F53" s="99">
        <f>E53+D53</f>
        <v>288</v>
      </c>
      <c r="G53" s="96" t="s">
        <v>93</v>
      </c>
      <c r="H53" s="100">
        <v>0.9148</v>
      </c>
      <c r="I53" s="101">
        <v>1.1205</v>
      </c>
      <c r="J53" s="102">
        <f>LOG(5.8748)</f>
        <v>0.7689930861991162</v>
      </c>
      <c r="K53" s="96"/>
      <c r="L53" s="90"/>
    </row>
    <row r="54" spans="1:12" s="5" customFormat="1" ht="23.25">
      <c r="A54" s="25"/>
      <c r="B54" s="25"/>
      <c r="C54" s="25"/>
      <c r="D54" s="26"/>
      <c r="E54" s="27"/>
      <c r="F54" s="28"/>
      <c r="G54" s="25"/>
      <c r="H54" s="29"/>
      <c r="I54" s="30"/>
      <c r="J54" s="45"/>
      <c r="K54" s="25"/>
      <c r="L54" s="31"/>
    </row>
    <row r="55" spans="1:12" s="5" customFormat="1" ht="23.25">
      <c r="A55" s="32"/>
      <c r="B55" s="32"/>
      <c r="C55" s="32" t="s">
        <v>9</v>
      </c>
      <c r="D55" s="33">
        <f>SUM(D4:D54)</f>
        <v>5206</v>
      </c>
      <c r="E55" s="71">
        <f>SUM(E4:E54)</f>
        <v>0</v>
      </c>
      <c r="F55" s="34">
        <f>SUM(F4:F54)</f>
        <v>5206</v>
      </c>
      <c r="G55" s="35"/>
      <c r="H55" s="36"/>
      <c r="I55" s="35"/>
      <c r="J55" s="53"/>
      <c r="K55" s="37"/>
      <c r="L55" s="38"/>
    </row>
    <row r="56" spans="1:12" s="5" customFormat="1" ht="23.25">
      <c r="A56" s="112" t="s">
        <v>39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4"/>
    </row>
    <row r="57" spans="1:12" s="5" customFormat="1" ht="26.25">
      <c r="A57" s="3"/>
      <c r="B57" s="3"/>
      <c r="C57" s="3"/>
      <c r="D57" s="3"/>
      <c r="E57" s="3"/>
      <c r="F57" s="3"/>
      <c r="G57" s="1"/>
      <c r="H57" s="4"/>
      <c r="I57" s="1"/>
      <c r="J57" s="54"/>
      <c r="K57" s="1"/>
      <c r="L57" s="2"/>
    </row>
    <row r="58" spans="1:12" s="5" customFormat="1" ht="26.25">
      <c r="A58" s="3"/>
      <c r="B58" s="3"/>
      <c r="C58" s="3"/>
      <c r="D58" s="3"/>
      <c r="E58" s="3"/>
      <c r="F58" s="3"/>
      <c r="G58" s="1"/>
      <c r="H58" s="4"/>
      <c r="I58" s="1"/>
      <c r="J58" s="54"/>
      <c r="K58" s="1"/>
      <c r="L58" s="2"/>
    </row>
    <row r="59" spans="1:12" s="5" customFormat="1" ht="26.25">
      <c r="A59" s="3"/>
      <c r="B59" s="3"/>
      <c r="C59" s="3"/>
      <c r="D59" s="3"/>
      <c r="E59" s="3"/>
      <c r="F59" s="3"/>
      <c r="G59" s="1"/>
      <c r="H59" s="4"/>
      <c r="I59" s="1"/>
      <c r="J59" s="54"/>
      <c r="K59" s="1"/>
      <c r="L59" s="2"/>
    </row>
    <row r="60" spans="1:12" s="5" customFormat="1" ht="26.25">
      <c r="A60" s="3"/>
      <c r="B60" s="3"/>
      <c r="C60" s="3"/>
      <c r="D60" s="3"/>
      <c r="E60" s="3"/>
      <c r="F60" s="3"/>
      <c r="G60" s="1"/>
      <c r="H60" s="4"/>
      <c r="I60" s="1"/>
      <c r="J60" s="54"/>
      <c r="K60" s="1"/>
      <c r="L60" s="2"/>
    </row>
    <row r="61" spans="1:12" s="5" customFormat="1" ht="26.25">
      <c r="A61" s="3"/>
      <c r="B61" s="3"/>
      <c r="C61" s="3"/>
      <c r="D61" s="3"/>
      <c r="E61" s="3"/>
      <c r="F61" s="3"/>
      <c r="G61" s="1"/>
      <c r="H61" s="4"/>
      <c r="I61" s="1"/>
      <c r="J61" s="54"/>
      <c r="K61" s="1"/>
      <c r="L61" s="2"/>
    </row>
    <row r="62" spans="1:12" s="5" customFormat="1" ht="26.25">
      <c r="A62" s="3"/>
      <c r="B62" s="3"/>
      <c r="C62" s="3"/>
      <c r="D62" s="3"/>
      <c r="E62" s="3"/>
      <c r="F62" s="3"/>
      <c r="G62" s="1"/>
      <c r="H62" s="4"/>
      <c r="I62" s="1"/>
      <c r="J62" s="54"/>
      <c r="K62" s="1"/>
      <c r="L62" s="2"/>
    </row>
  </sheetData>
  <mergeCells count="11">
    <mergeCell ref="A1:L1"/>
    <mergeCell ref="D2:F2"/>
    <mergeCell ref="A2:A3"/>
    <mergeCell ref="B2:B3"/>
    <mergeCell ref="J2:J3"/>
    <mergeCell ref="I2:I3"/>
    <mergeCell ref="G2:G3"/>
    <mergeCell ref="A56:L56"/>
    <mergeCell ref="C2:C3"/>
    <mergeCell ref="L2:L3"/>
    <mergeCell ref="H2:H3"/>
  </mergeCells>
  <printOptions horizontalCentered="1"/>
  <pageMargins left="0.1968503937007874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E3" sqref="E3"/>
    </sheetView>
  </sheetViews>
  <sheetFormatPr defaultColWidth="9.140625" defaultRowHeight="21.75"/>
  <cols>
    <col min="1" max="1" width="9.140625" style="3" customWidth="1"/>
    <col min="2" max="2" width="6.140625" style="3" customWidth="1"/>
    <col min="3" max="3" width="20.8515625" style="54" customWidth="1"/>
    <col min="4" max="16384" width="9.140625" style="1" customWidth="1"/>
  </cols>
  <sheetData>
    <row r="1" spans="1:3" ht="30">
      <c r="A1" s="69" t="s">
        <v>22</v>
      </c>
      <c r="B1" s="56"/>
      <c r="C1" s="56"/>
    </row>
    <row r="2" spans="1:3" s="5" customFormat="1" ht="23.25">
      <c r="A2" s="115" t="s">
        <v>7</v>
      </c>
      <c r="B2" s="115" t="s">
        <v>0</v>
      </c>
      <c r="C2" s="124" t="s">
        <v>3</v>
      </c>
    </row>
    <row r="3" spans="1:3" s="5" customFormat="1" ht="23.25">
      <c r="A3" s="115"/>
      <c r="B3" s="115"/>
      <c r="C3" s="124"/>
    </row>
    <row r="4" spans="1:5" s="5" customFormat="1" ht="23.25">
      <c r="A4" s="6">
        <v>1</v>
      </c>
      <c r="B4" s="7" t="s">
        <v>11</v>
      </c>
      <c r="C4" s="57">
        <f>LOG(0.4851)</f>
        <v>-0.3141687253739364</v>
      </c>
      <c r="D4" s="5">
        <v>0.4851</v>
      </c>
      <c r="E4" s="5">
        <f>+LOG(D4)</f>
        <v>-0.3141687253739364</v>
      </c>
    </row>
    <row r="5" spans="1:3" s="5" customFormat="1" ht="23.25">
      <c r="A5" s="14"/>
      <c r="B5" s="14"/>
      <c r="C5" s="58">
        <f>LOG(1.4189)</f>
        <v>0.15195178870726556</v>
      </c>
    </row>
    <row r="6" spans="1:3" s="5" customFormat="1" ht="23.25">
      <c r="A6" s="14">
        <f>+A4+1</f>
        <v>2</v>
      </c>
      <c r="B6" s="21" t="s">
        <v>12</v>
      </c>
      <c r="C6" s="58">
        <f>LOG(3.4059)</f>
        <v>0.5322318925738089</v>
      </c>
    </row>
    <row r="7" spans="1:3" s="5" customFormat="1" ht="23.25">
      <c r="A7" s="14"/>
      <c r="B7" s="14"/>
      <c r="C7" s="58">
        <f>LOG(3.6824)</f>
        <v>0.5661309618859178</v>
      </c>
    </row>
    <row r="8" spans="1:3" s="5" customFormat="1" ht="23.25">
      <c r="A8" s="14">
        <f>+A6+1</f>
        <v>3</v>
      </c>
      <c r="B8" s="21" t="s">
        <v>23</v>
      </c>
      <c r="C8" s="58">
        <f>LOG(0.4124)</f>
        <v>-0.38468134338852106</v>
      </c>
    </row>
    <row r="9" spans="1:3" s="5" customFormat="1" ht="23.25">
      <c r="A9" s="14"/>
      <c r="B9" s="21"/>
      <c r="C9" s="58">
        <f>LOG(0.3674)</f>
        <v>-0.43486084803021047</v>
      </c>
    </row>
    <row r="10" spans="1:3" s="5" customFormat="1" ht="23.25">
      <c r="A10" s="14"/>
      <c r="B10" s="21" t="s">
        <v>41</v>
      </c>
      <c r="C10" s="58">
        <f>LOG(5.6805)</f>
        <v>0.7543865641765075</v>
      </c>
    </row>
    <row r="11" spans="1:3" s="5" customFormat="1" ht="23.25">
      <c r="A11" s="14"/>
      <c r="B11" s="14"/>
      <c r="C11" s="58">
        <f>LOG(5.6805)</f>
        <v>0.7543865641765075</v>
      </c>
    </row>
    <row r="12" spans="1:3" s="5" customFormat="1" ht="23.25">
      <c r="A12" s="14">
        <f>+A8+1</f>
        <v>4</v>
      </c>
      <c r="B12" s="21" t="s">
        <v>13</v>
      </c>
      <c r="C12" s="58">
        <f>LOG(3.1705)</f>
        <v>0.5011277575229803</v>
      </c>
    </row>
    <row r="13" spans="1:3" s="5" customFormat="1" ht="23.25">
      <c r="A13" s="14"/>
      <c r="B13" s="14"/>
      <c r="C13" s="58">
        <f>LOG(3.4453)</f>
        <v>0.5372270441455221</v>
      </c>
    </row>
    <row r="14" spans="1:3" s="5" customFormat="1" ht="23.25">
      <c r="A14" s="14">
        <f>+A12+1</f>
        <v>5</v>
      </c>
      <c r="B14" s="21" t="s">
        <v>24</v>
      </c>
      <c r="C14" s="58">
        <f>LOG(4.8522)</f>
        <v>0.6859386934942598</v>
      </c>
    </row>
    <row r="15" spans="1:3" s="5" customFormat="1" ht="23.25">
      <c r="A15" s="14"/>
      <c r="B15" s="14"/>
      <c r="C15" s="58">
        <f>LOG(4.9302)</f>
        <v>0.6928645373572675</v>
      </c>
    </row>
    <row r="16" spans="1:3" s="5" customFormat="1" ht="23.25">
      <c r="A16" s="14">
        <f>+A14+1</f>
        <v>6</v>
      </c>
      <c r="B16" s="21" t="s">
        <v>14</v>
      </c>
      <c r="C16" s="58">
        <f>LOG(5.1227)</f>
        <v>0.7094989230909564</v>
      </c>
    </row>
    <row r="17" spans="1:3" s="5" customFormat="1" ht="23.25">
      <c r="A17" s="14"/>
      <c r="B17" s="14"/>
      <c r="C17" s="58">
        <f>LOG(4.5302)</f>
        <v>0.6561173757388853</v>
      </c>
    </row>
    <row r="18" spans="1:3" s="5" customFormat="1" ht="23.25">
      <c r="A18" s="14">
        <f>+A16+1</f>
        <v>7</v>
      </c>
      <c r="B18" s="21" t="s">
        <v>15</v>
      </c>
      <c r="C18" s="58">
        <f>LOG(4.3208)</f>
        <v>0.6355641642731371</v>
      </c>
    </row>
    <row r="19" spans="1:3" s="5" customFormat="1" ht="23.25">
      <c r="A19" s="14"/>
      <c r="B19" s="14"/>
      <c r="C19" s="58">
        <f>LOG(4.7961)</f>
        <v>0.6808882296802367</v>
      </c>
    </row>
    <row r="20" spans="1:3" s="5" customFormat="1" ht="23.25">
      <c r="A20" s="14">
        <f>+A18+1</f>
        <v>8</v>
      </c>
      <c r="B20" s="21" t="s">
        <v>42</v>
      </c>
      <c r="C20" s="58">
        <f>LOG(2.7165)</f>
        <v>0.43400970936973965</v>
      </c>
    </row>
    <row r="21" spans="1:3" s="5" customFormat="1" ht="23.25">
      <c r="A21" s="14"/>
      <c r="B21" s="21"/>
      <c r="C21" s="58">
        <f>LOG(2.7165)</f>
        <v>0.43400970936973965</v>
      </c>
    </row>
    <row r="22" spans="1:3" s="5" customFormat="1" ht="23.25">
      <c r="A22" s="14">
        <f aca="true" t="shared" si="0" ref="A22:A28">+A20+1</f>
        <v>9</v>
      </c>
      <c r="B22" s="21" t="s">
        <v>43</v>
      </c>
      <c r="C22" s="58">
        <f>LOG(1.6061)</f>
        <v>0.20577258209841967</v>
      </c>
    </row>
    <row r="23" spans="1:3" s="5" customFormat="1" ht="23.25">
      <c r="A23" s="14"/>
      <c r="B23" s="21"/>
      <c r="C23" s="58">
        <f>LOG(1.6061)</f>
        <v>0.20577258209841967</v>
      </c>
    </row>
    <row r="24" spans="1:3" s="5" customFormat="1" ht="23.25">
      <c r="A24" s="14">
        <f t="shared" si="0"/>
        <v>10</v>
      </c>
      <c r="B24" s="21" t="s">
        <v>44</v>
      </c>
      <c r="C24" s="58">
        <f>LOG(0.1314)</f>
        <v>-0.8814046347762381</v>
      </c>
    </row>
    <row r="25" spans="1:3" s="5" customFormat="1" ht="23.25">
      <c r="A25" s="14"/>
      <c r="B25" s="21"/>
      <c r="C25" s="58">
        <f>LOG(0.1314)</f>
        <v>-0.8814046347762381</v>
      </c>
    </row>
    <row r="26" spans="1:3" s="5" customFormat="1" ht="23.25">
      <c r="A26" s="14">
        <f t="shared" si="0"/>
        <v>11</v>
      </c>
      <c r="B26" s="21" t="s">
        <v>45</v>
      </c>
      <c r="C26" s="58">
        <f>LOG(4.3139)</f>
        <v>0.6348700735547615</v>
      </c>
    </row>
    <row r="27" spans="1:3" s="5" customFormat="1" ht="23.25">
      <c r="A27" s="14"/>
      <c r="B27" s="21"/>
      <c r="C27" s="58">
        <f>LOG(4.3139)</f>
        <v>0.6348700735547615</v>
      </c>
    </row>
    <row r="28" spans="1:3" s="5" customFormat="1" ht="23.25">
      <c r="A28" s="14">
        <f t="shared" si="0"/>
        <v>12</v>
      </c>
      <c r="B28" s="21" t="s">
        <v>25</v>
      </c>
      <c r="C28" s="58">
        <f>LOG(4.0878)</f>
        <v>0.6114896393230412</v>
      </c>
    </row>
    <row r="29" spans="1:3" s="5" customFormat="1" ht="23.25">
      <c r="A29" s="14"/>
      <c r="B29" s="21"/>
      <c r="C29" s="58">
        <f>LOG(4.2467)</f>
        <v>0.628051582171172</v>
      </c>
    </row>
    <row r="30" spans="1:3" s="5" customFormat="1" ht="23.25">
      <c r="A30" s="14">
        <f>+A28+1</f>
        <v>13</v>
      </c>
      <c r="B30" s="21" t="s">
        <v>16</v>
      </c>
      <c r="C30" s="58">
        <f>LOG(0.9353)</f>
        <v>-0.029049065654575875</v>
      </c>
    </row>
    <row r="31" spans="1:3" s="5" customFormat="1" ht="23.25">
      <c r="A31" s="14"/>
      <c r="B31" s="14"/>
      <c r="C31" s="58">
        <f>LOG(1.339)</f>
        <v>0.12678057701200895</v>
      </c>
    </row>
    <row r="32" spans="1:3" s="5" customFormat="1" ht="23.25">
      <c r="A32" s="14">
        <f>+A30+1</f>
        <v>14</v>
      </c>
      <c r="B32" s="21" t="s">
        <v>27</v>
      </c>
      <c r="C32" s="58">
        <f>LOG(3.4498)</f>
        <v>0.537793917851788</v>
      </c>
    </row>
    <row r="33" spans="1:3" s="5" customFormat="1" ht="23.25">
      <c r="A33" s="14"/>
      <c r="B33" s="14"/>
      <c r="C33" s="58">
        <f>LOG(3.8867)</f>
        <v>0.5895810203398645</v>
      </c>
    </row>
    <row r="34" spans="1:3" s="5" customFormat="1" ht="23.25">
      <c r="A34" s="14">
        <f>+A32+1</f>
        <v>15</v>
      </c>
      <c r="B34" s="21" t="s">
        <v>19</v>
      </c>
      <c r="C34" s="58">
        <f>LOG(1.8967)</f>
        <v>0.2779986442002884</v>
      </c>
    </row>
    <row r="35" spans="1:3" s="5" customFormat="1" ht="23.25">
      <c r="A35" s="25"/>
      <c r="B35" s="25"/>
      <c r="C35" s="59">
        <f>LOG(2.5085)</f>
        <v>0.3994141053637703</v>
      </c>
    </row>
    <row r="36" spans="1:3" s="5" customFormat="1" ht="23.25">
      <c r="A36" s="41">
        <f>+A34+1</f>
        <v>16</v>
      </c>
      <c r="B36" s="42" t="s">
        <v>21</v>
      </c>
      <c r="C36" s="60">
        <f>LOG(4.117)</f>
        <v>0.614580866997486</v>
      </c>
    </row>
    <row r="37" spans="1:3" s="5" customFormat="1" ht="23.25">
      <c r="A37" s="14"/>
      <c r="B37" s="14"/>
      <c r="C37" s="58">
        <f>LOG(4.0716)</f>
        <v>0.6097651056927426</v>
      </c>
    </row>
    <row r="38" spans="1:3" s="5" customFormat="1" ht="23.25">
      <c r="A38" s="14">
        <f>+A36+1</f>
        <v>17</v>
      </c>
      <c r="B38" s="21" t="s">
        <v>28</v>
      </c>
      <c r="C38" s="58">
        <f>LOG(1.376)</f>
        <v>0.13861843389949247</v>
      </c>
    </row>
    <row r="39" spans="1:3" s="5" customFormat="1" ht="23.25">
      <c r="A39" s="14"/>
      <c r="B39" s="14"/>
      <c r="C39" s="58">
        <f>LOG(1.5368)</f>
        <v>0.18661735185363723</v>
      </c>
    </row>
    <row r="40" spans="1:3" s="5" customFormat="1" ht="23.25">
      <c r="A40" s="14">
        <f>+A38+1</f>
        <v>18</v>
      </c>
      <c r="B40" s="21" t="s">
        <v>33</v>
      </c>
      <c r="C40" s="58">
        <f>LOG(7.5695)</f>
        <v>0.8790671933161128</v>
      </c>
    </row>
    <row r="41" spans="1:3" s="5" customFormat="1" ht="23.25">
      <c r="A41" s="14"/>
      <c r="B41" s="14"/>
      <c r="C41" s="58">
        <f>LOG(4.9161)</f>
        <v>0.6916207084305436</v>
      </c>
    </row>
    <row r="42" spans="1:3" s="5" customFormat="1" ht="23.25">
      <c r="A42" s="14">
        <f>+A40+1</f>
        <v>19</v>
      </c>
      <c r="B42" s="21" t="s">
        <v>34</v>
      </c>
      <c r="C42" s="58">
        <f>LOG(5.3348)</f>
        <v>0.7271181425000357</v>
      </c>
    </row>
    <row r="43" spans="1:3" s="5" customFormat="1" ht="23.25">
      <c r="A43" s="14"/>
      <c r="B43" s="14"/>
      <c r="C43" s="58">
        <f>LOG(5.4234)</f>
        <v>0.7342716367766632</v>
      </c>
    </row>
    <row r="44" spans="1:3" s="5" customFormat="1" ht="23.25">
      <c r="A44" s="14">
        <f>+A42+1</f>
        <v>20</v>
      </c>
      <c r="B44" s="21" t="s">
        <v>35</v>
      </c>
      <c r="C44" s="58">
        <f>LOG(5.9372)</f>
        <v>0.773581678778409</v>
      </c>
    </row>
    <row r="45" spans="1:3" s="5" customFormat="1" ht="23.25">
      <c r="A45" s="14"/>
      <c r="B45" s="14"/>
      <c r="C45" s="58">
        <f>LOG(6.9584)</f>
        <v>0.8425093903212607</v>
      </c>
    </row>
    <row r="46" spans="1:3" s="5" customFormat="1" ht="23.25">
      <c r="A46" s="14">
        <f>+A44+1</f>
        <v>21</v>
      </c>
      <c r="B46" s="21" t="s">
        <v>36</v>
      </c>
      <c r="C46" s="58">
        <f>LOG(5.9321)</f>
        <v>0.7732084635097722</v>
      </c>
    </row>
    <row r="47" spans="1:3" s="5" customFormat="1" ht="23.25">
      <c r="A47" s="25"/>
      <c r="B47" s="25"/>
      <c r="C47" s="59">
        <f>LOG(5.2056)</f>
        <v>0.7164707937257992</v>
      </c>
    </row>
    <row r="48" spans="1:3" s="5" customFormat="1" ht="23.25">
      <c r="A48" s="32"/>
      <c r="B48" s="32"/>
      <c r="C48" s="53"/>
    </row>
    <row r="49" spans="1:3" s="5" customFormat="1" ht="23.25">
      <c r="A49" s="70" t="s">
        <v>39</v>
      </c>
      <c r="B49" s="55"/>
      <c r="C49" s="55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Customer</cp:lastModifiedBy>
  <cp:lastPrinted>2008-06-24T02:46:09Z</cp:lastPrinted>
  <dcterms:created xsi:type="dcterms:W3CDTF">2001-05-01T08:12:27Z</dcterms:created>
  <dcterms:modified xsi:type="dcterms:W3CDTF">2008-06-24T03:02:03Z</dcterms:modified>
  <cp:category/>
  <cp:version/>
  <cp:contentType/>
  <cp:contentStatus/>
</cp:coreProperties>
</file>